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xml" ContentType="application/vnd.openxmlformats-officedocument.drawing+xml"/>
  <Override PartName="/xl/worksheets/sheet27.xml" ContentType="application/vnd.openxmlformats-officedocument.spreadsheetml.worksheet+xml"/>
  <Override PartName="/xl/drawings/drawing2.xml" ContentType="application/vnd.openxmlformats-officedocument.drawing+xml"/>
  <Override PartName="/xl/worksheets/sheet28.xml" ContentType="application/vnd.openxmlformats-officedocument.spreadsheetml.worksheet+xml"/>
  <Override PartName="/xl/drawings/drawing4.xml" ContentType="application/vnd.openxmlformats-officedocument.drawing+xml"/>
  <Override PartName="/xl/worksheets/sheet29.xml" ContentType="application/vnd.openxmlformats-officedocument.spreadsheetml.worksheet+xml"/>
  <Override PartName="/xl/drawings/drawing5.xml" ContentType="application/vnd.openxmlformats-officedocument.drawing+xml"/>
  <Override PartName="/xl/worksheets/sheet30.xml" ContentType="application/vnd.openxmlformats-officedocument.spreadsheetml.worksheet+xml"/>
  <Override PartName="/xl/drawings/drawing7.xml" ContentType="application/vnd.openxmlformats-officedocument.drawing+xml"/>
  <Override PartName="/xl/worksheets/sheet31.xml" ContentType="application/vnd.openxmlformats-officedocument.spreadsheetml.worksheet+xml"/>
  <Override PartName="/xl/drawings/drawing8.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drawings/drawing9.xml" ContentType="application/vnd.openxmlformats-officedocument.drawing+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48" activeTab="0"/>
  </bookViews>
  <sheets>
    <sheet name="表１" sheetId="1" r:id="rId1"/>
    <sheet name="表２" sheetId="2" r:id="rId2"/>
    <sheet name="表３" sheetId="3" r:id="rId3"/>
    <sheet name="表４" sheetId="4" r:id="rId4"/>
    <sheet name="表５" sheetId="5" r:id="rId5"/>
    <sheet name="表６" sheetId="6" r:id="rId6"/>
    <sheet name="表７" sheetId="7" r:id="rId7"/>
    <sheet name="表８" sheetId="8" r:id="rId8"/>
    <sheet name="表９" sheetId="9" r:id="rId9"/>
    <sheet name="表１０" sheetId="10" r:id="rId10"/>
    <sheet name="表１１" sheetId="11" r:id="rId11"/>
    <sheet name="表１２" sheetId="12" r:id="rId12"/>
    <sheet name="表１３" sheetId="13" r:id="rId13"/>
    <sheet name="表１４" sheetId="14" r:id="rId14"/>
    <sheet name="表１５" sheetId="15" r:id="rId15"/>
    <sheet name="表１６" sheetId="16" r:id="rId16"/>
    <sheet name="表１７" sheetId="17" r:id="rId17"/>
    <sheet name="表１８" sheetId="18" r:id="rId18"/>
    <sheet name="表１９" sheetId="19" r:id="rId19"/>
    <sheet name="表２０" sheetId="20" r:id="rId20"/>
    <sheet name="表２１－１" sheetId="21" r:id="rId21"/>
    <sheet name="表２１－２" sheetId="22" r:id="rId22"/>
    <sheet name="表２１－３" sheetId="23" r:id="rId23"/>
    <sheet name="表２２" sheetId="24" r:id="rId24"/>
    <sheet name="表２３" sheetId="25" r:id="rId25"/>
    <sheet name="第１表" sheetId="26" state="hidden" r:id="rId26"/>
    <sheet name="第２表" sheetId="27" state="hidden" r:id="rId27"/>
    <sheet name="図１" sheetId="28" state="hidden" r:id="rId28"/>
    <sheet name="第３表" sheetId="29" state="hidden" r:id="rId29"/>
    <sheet name="図2" sheetId="30" state="hidden" r:id="rId30"/>
    <sheet name="第４表" sheetId="31" state="hidden" r:id="rId31"/>
    <sheet name="第５表" sheetId="32" state="hidden" r:id="rId32"/>
    <sheet name="第６表" sheetId="33" state="hidden" r:id="rId33"/>
    <sheet name="第７表" sheetId="34" state="hidden" r:id="rId34"/>
    <sheet name="第８表" sheetId="35" state="hidden" r:id="rId35"/>
    <sheet name="第９表" sheetId="36" state="hidden" r:id="rId36"/>
    <sheet name="第10表" sheetId="37" state="hidden" r:id="rId37"/>
    <sheet name="第11表" sheetId="38" state="hidden" r:id="rId38"/>
    <sheet name="第12表" sheetId="39" state="hidden" r:id="rId39"/>
  </sheets>
  <externalReferences>
    <externalReference r:id="rId42"/>
  </externalReferences>
  <definedNames>
    <definedName name="_xlfn.IFERROR" hidden="1">#NAME?</definedName>
    <definedName name="_xlnm.Print_Area" localSheetId="25">'第１表'!$B$1:$I$37</definedName>
    <definedName name="_xlnm.Print_Area" localSheetId="0">'表１'!$A$1:$D$20</definedName>
    <definedName name="_xlnm.Print_Area" localSheetId="10">'表１１'!$A$1:$L$27</definedName>
    <definedName name="_xlnm.Print_Area" localSheetId="21">'表２１－２'!$A$1:$AB$76</definedName>
    <definedName name="_xlnm.Print_Area" localSheetId="23">'表２２'!$A$1:$J$27</definedName>
    <definedName name="_xlnm.Print_Titles" localSheetId="17">'表１８'!$3:$4</definedName>
    <definedName name="_xlnm.Print_Titles" localSheetId="19">'表２０'!$2:$4</definedName>
    <definedName name="こども園">'[1]３ページ'!$AH$7</definedName>
    <definedName name="教育行政">'第４表'!$AJ$24</definedName>
    <definedName name="教育費総額">'第１表'!$AA$8</definedName>
    <definedName name="社会教育">'第４表'!$AI$24</definedName>
    <definedName name="小１人当">'第７表'!$E$6</definedName>
    <definedName name="小学校">'第４表'!$Z$24</definedName>
    <definedName name="専修">'第４表'!$AG$24</definedName>
    <definedName name="全学校">'第４表'!$X$24</definedName>
    <definedName name="全日制">'第４表'!$AC$24</definedName>
    <definedName name="中学校">'第４表'!$AA$24</definedName>
    <definedName name="中等">'第４表'!$AF$24</definedName>
    <definedName name="通信制">'第４表'!$AE$24</definedName>
    <definedName name="定時制">'第４表'!$AD$24</definedName>
    <definedName name="特殊学校">'第４表'!$AB$24</definedName>
    <definedName name="幼稚園">'第４表'!$Y$24</definedName>
  </definedNames>
  <calcPr fullCalcOnLoad="1"/>
</workbook>
</file>

<file path=xl/sharedStrings.xml><?xml version="1.0" encoding="utf-8"?>
<sst xmlns="http://schemas.openxmlformats.org/spreadsheetml/2006/main" count="1696" uniqueCount="562">
  <si>
    <t>表１　用語解説</t>
  </si>
  <si>
    <t>主な用語</t>
  </si>
  <si>
    <t>解　　説　（調査対象経費）</t>
  </si>
  <si>
    <t>財源（負担区分別）</t>
  </si>
  <si>
    <t>公　　　費</t>
  </si>
  <si>
    <t>国庫補助金</t>
  </si>
  <si>
    <t>国が地方公共団体に対し、教育に関して交付する補助金及び負担金をいう。
ただし、財源補てんの性格を有する補助金及び委託事務に関する経費は調査対象外とする。</t>
  </si>
  <si>
    <t>市町村支出金</t>
  </si>
  <si>
    <t>市町村が市町村の租税、地方交付税、使用料、基金運用収入等の財源から教育のために支出した金額をいう。</t>
  </si>
  <si>
    <t>地方債</t>
  </si>
  <si>
    <t>地方公共団体が、その学校等の新設、災害復旧のために起債した経費のうち、当該会計年度の決算に属すべき経費をいう。ただし、一時借入金は調査対象外とする。</t>
  </si>
  <si>
    <t>地方公共団体の歳入として、決算に計上された寄付金、贈与金で、当該年度中に教育のために支出した金額をいう。</t>
  </si>
  <si>
    <t>支出項目（使途別）</t>
  </si>
  <si>
    <t>消費的支出</t>
  </si>
  <si>
    <t>人件費</t>
  </si>
  <si>
    <t>教職員の給与並びに共済組合等負担金、恩給費等及び退職・死傷手当等の経費をいう。</t>
  </si>
  <si>
    <t>教育活動費</t>
  </si>
  <si>
    <t>児童・生徒に対する教授及び授業並びに授業の補助のために要した経費をいう。
（例）特別活動・修学旅行費、教授用消耗品費、旅費</t>
  </si>
  <si>
    <t>管理費</t>
  </si>
  <si>
    <t>土地・建物・設備等を常に使用しうる状態に維持するのに要した経費をいう。
（例）修繕費、消耗品費、光熱水費</t>
  </si>
  <si>
    <t>補助活動費</t>
  </si>
  <si>
    <t>正規の学校教育活動の中には含まれないが、それと密接な関係を有している学校の事業に要した経費をいう。
（例）健康診断・身体検査等に要した経費</t>
  </si>
  <si>
    <t>所定支払金</t>
  </si>
  <si>
    <t>資本的支出</t>
  </si>
  <si>
    <t>土地・建造物及び設備・備品の取得、取替え、補充に要した経費をいう。</t>
  </si>
  <si>
    <t>債務償還費</t>
  </si>
  <si>
    <t>地方債の元金の返済、利子の支払い及び手数料に要した経費をいう。</t>
  </si>
  <si>
    <t>実額（単位・千円）</t>
  </si>
  <si>
    <t>教育費総額</t>
  </si>
  <si>
    <t>Ａ　学校教育費</t>
  </si>
  <si>
    <t>幼稚園</t>
  </si>
  <si>
    <t>小学校</t>
  </si>
  <si>
    <t>中学校</t>
  </si>
  <si>
    <t>高等学校</t>
  </si>
  <si>
    <t>全日制課程</t>
  </si>
  <si>
    <t>定時制課程</t>
  </si>
  <si>
    <t>通信制課程</t>
  </si>
  <si>
    <t>計</t>
  </si>
  <si>
    <t>中等教育学校</t>
  </si>
  <si>
    <t>専修学校</t>
  </si>
  <si>
    <t>Ｂ　社会教育費</t>
  </si>
  <si>
    <t>Ｃ　教育行政費</t>
  </si>
  <si>
    <t>指　　　　　数</t>
  </si>
  <si>
    <t>表３　教育費総額の財源別推移（実額）</t>
  </si>
  <si>
    <t>区　　　分</t>
  </si>
  <si>
    <t>Ⅰ　地方債・寄付金以外の公費</t>
  </si>
  <si>
    <t>国庫補助金</t>
  </si>
  <si>
    <t>市町村支出金</t>
  </si>
  <si>
    <t>Ⅱ地方債</t>
  </si>
  <si>
    <t>Ⅲ寄付金</t>
  </si>
  <si>
    <t>公費に組み入れられない寄付金</t>
  </si>
  <si>
    <t>その他の寄付金</t>
  </si>
  <si>
    <t>指　　　　数</t>
  </si>
  <si>
    <t>Ⅱ　地方債</t>
  </si>
  <si>
    <t>Ⅲ　寄付金</t>
  </si>
  <si>
    <t>表４　在学者（県民）1人当たり教育費推移</t>
  </si>
  <si>
    <t>実額（単位・円）</t>
  </si>
  <si>
    <t>表５　地方教育費に関する総括表（実額）</t>
  </si>
  <si>
    <t>（単位：千円）</t>
  </si>
  <si>
    <t>総　　　額</t>
  </si>
  <si>
    <t>学　　　　校　　　　教　　　　育　　　　費</t>
  </si>
  <si>
    <t>社会
教育費</t>
  </si>
  <si>
    <t>教育
行政費</t>
  </si>
  <si>
    <t>全学校</t>
  </si>
  <si>
    <t>全日制
高等学校</t>
  </si>
  <si>
    <t>定時制
高等学校</t>
  </si>
  <si>
    <t>通信制
高等学校</t>
  </si>
  <si>
    <t>中等教育
学校</t>
  </si>
  <si>
    <t>１　教育費総額</t>
  </si>
  <si>
    <t>２　財源別内訳</t>
  </si>
  <si>
    <t>Ａ　地方債・寄付金以外の公費</t>
  </si>
  <si>
    <t>１　国庫補助金</t>
  </si>
  <si>
    <t>３　市町村支出金</t>
  </si>
  <si>
    <t>Ｂ　地方債</t>
  </si>
  <si>
    <t>３　支出項目別内訳</t>
  </si>
  <si>
    <t>Ａ　消費的支出</t>
  </si>
  <si>
    <t>１　人件費</t>
  </si>
  <si>
    <t>ａ　本務教員の給与</t>
  </si>
  <si>
    <t>ｂ　ａ以外の人件費</t>
  </si>
  <si>
    <t>２　教育活動費</t>
  </si>
  <si>
    <t>３　管理費</t>
  </si>
  <si>
    <t>４　補助活動費</t>
  </si>
  <si>
    <t>５　所定支払金</t>
  </si>
  <si>
    <t>Ｂ　資本的支出</t>
  </si>
  <si>
    <t>１　土地費</t>
  </si>
  <si>
    <t>２　建築費</t>
  </si>
  <si>
    <t>３　設備・備品費</t>
  </si>
  <si>
    <t>４　図書購入費</t>
  </si>
  <si>
    <t>Ｃ　債務償還費</t>
  </si>
  <si>
    <t>４　在学者・県民一人当たり経費（円）</t>
  </si>
  <si>
    <t>５　在学者数（県人口）（人）</t>
  </si>
  <si>
    <t>表６　教育費総額（教育分野別・財源別）─実額─</t>
  </si>
  <si>
    <t>　　　　　　　　　財　源
　教育分野</t>
  </si>
  <si>
    <t>地方債・寄付金以外の公費</t>
  </si>
  <si>
    <t>地方債</t>
  </si>
  <si>
    <t>合　　計</t>
  </si>
  <si>
    <t>１幼稚園</t>
  </si>
  <si>
    <t>２小学校</t>
  </si>
  <si>
    <t>３中学校　</t>
  </si>
  <si>
    <t>５高等学校</t>
  </si>
  <si>
    <t>６中等教育学校</t>
  </si>
  <si>
    <t>７専修学校</t>
  </si>
  <si>
    <t>表７　教育費総額（教育分野別・財源別）─在学者（県民）1人当たり教育費（年額）─</t>
  </si>
  <si>
    <t>　２　円未満を四捨五入したため、計と内訳が一致しない場合がある。</t>
  </si>
  <si>
    <t>表８　幼稚園教育費（支出項目別・財源別）</t>
  </si>
  <si>
    <t>園児数</t>
  </si>
  <si>
    <t>　　　　　　　　財　　源
支出項目</t>
  </si>
  <si>
    <t>地方債</t>
  </si>
  <si>
    <t>合計</t>
  </si>
  <si>
    <t>学校教育費</t>
  </si>
  <si>
    <t>消費的支出</t>
  </si>
  <si>
    <t>人件費</t>
  </si>
  <si>
    <t>b a以外の人件費</t>
  </si>
  <si>
    <t>教育活動費</t>
  </si>
  <si>
    <t>管理費</t>
  </si>
  <si>
    <t>補助活動費</t>
  </si>
  <si>
    <t>所定支払金</t>
  </si>
  <si>
    <t>資本的支出</t>
  </si>
  <si>
    <t>債務償還費</t>
  </si>
  <si>
    <t>園児一人当たり経費（単位・円）</t>
  </si>
  <si>
    <t>注　１人当たり経費は円未満を四捨五入したため、計と内訳が一致しない場合がある。</t>
  </si>
  <si>
    <t>表９　小学校教育費（支出項目別・財源別）</t>
  </si>
  <si>
    <t>児童数</t>
  </si>
  <si>
    <t>児童一人当たり経費（単位・円）</t>
  </si>
  <si>
    <t>表１０　中学校教育費（支出項目別・財源別）</t>
  </si>
  <si>
    <t>生徒数</t>
  </si>
  <si>
    <t>生徒一人当たり経費（単位・円）</t>
  </si>
  <si>
    <t>表１２　高等学校全日制課程教育費（支出項目別・財源別）</t>
  </si>
  <si>
    <t>表１３　高等学校定時制課程教育費（支出項目別・財源別）</t>
  </si>
  <si>
    <t>表１４　高等学校通信制課程教育費（支出項目別・財源別）</t>
  </si>
  <si>
    <t>(単位：千円）</t>
  </si>
  <si>
    <t>　　　　　　　　　　財　　源
　支出項目</t>
  </si>
  <si>
    <t>教育費総額</t>
  </si>
  <si>
    <t>地方債・寄付金以外の公費</t>
  </si>
  <si>
    <t>支出項目別内訳</t>
  </si>
  <si>
    <t>合計</t>
  </si>
  <si>
    <t>消費的支出</t>
  </si>
  <si>
    <t>資本的支出</t>
  </si>
  <si>
    <t>債務償還費</t>
  </si>
  <si>
    <t>県</t>
  </si>
  <si>
    <t>Ⅰ 社会教育費総額</t>
  </si>
  <si>
    <t>１ 公民館費総額</t>
  </si>
  <si>
    <t>２ 図書館費総額</t>
  </si>
  <si>
    <t>３ 博物館費総額</t>
  </si>
  <si>
    <t>４ 体育施設費総額</t>
  </si>
  <si>
    <t>５ 青少年教育施設費総額</t>
  </si>
  <si>
    <t>６ 女性教育施設費総額</t>
  </si>
  <si>
    <t>７ 文化会館費総額</t>
  </si>
  <si>
    <t>８ その他の社会教育施設費総額</t>
  </si>
  <si>
    <t>９ 教育委員会が行った
　　　社会教育活動費総額</t>
  </si>
  <si>
    <t>10 文化財保護費総額</t>
  </si>
  <si>
    <t>Ⅱ 教育行政費総額</t>
  </si>
  <si>
    <t>市町村</t>
  </si>
  <si>
    <t>県人口</t>
  </si>
  <si>
    <t>　　　　　　　　項　目
　教育施設</t>
  </si>
  <si>
    <t>授業料</t>
  </si>
  <si>
    <t>入学金</t>
  </si>
  <si>
    <t>検定料</t>
  </si>
  <si>
    <t>日本スポーツ
振興ｾﾝﾀｰ
共済掛金</t>
  </si>
  <si>
    <t>その他
の収入</t>
  </si>
  <si>
    <t>特別会計
収入</t>
  </si>
  <si>
    <t>全教育施設</t>
  </si>
  <si>
    <t>中等教育学校</t>
  </si>
  <si>
    <t>社会教育費</t>
  </si>
  <si>
    <t>教育行政費</t>
  </si>
  <si>
    <t>区　　　　　分</t>
  </si>
  <si>
    <t>合　　　　　　　計　　　　　　</t>
  </si>
  <si>
    <t>財　　　　　　　　源　　　　　　　　別</t>
  </si>
  <si>
    <t>都　道　府　県　支　出　金</t>
  </si>
  <si>
    <t>前年度合計</t>
  </si>
  <si>
    <t>当該年度合計</t>
  </si>
  <si>
    <t>増　減　額</t>
  </si>
  <si>
    <t>伸率％</t>
  </si>
  <si>
    <t>増減額</t>
  </si>
  <si>
    <t>前年度合計</t>
  </si>
  <si>
    <t>教育費総合計（学校＋社会＋行政）</t>
  </si>
  <si>
    <t>学校教育費：</t>
  </si>
  <si>
    <t>幼稚園</t>
  </si>
  <si>
    <t>小学校</t>
  </si>
  <si>
    <t>中学校</t>
  </si>
  <si>
    <t>高等学校（全日制）</t>
  </si>
  <si>
    <t>高等学校（定時制）</t>
  </si>
  <si>
    <t>高等学校（通信制）</t>
  </si>
  <si>
    <t>専修学校</t>
  </si>
  <si>
    <t>各種学校</t>
  </si>
  <si>
    <t>高等専門学校</t>
  </si>
  <si>
    <t xml:space="preserve"> </t>
  </si>
  <si>
    <t>公民館</t>
  </si>
  <si>
    <t>図書館</t>
  </si>
  <si>
    <t>博物館</t>
  </si>
  <si>
    <t>体育施設</t>
  </si>
  <si>
    <t>青少年教育施設</t>
  </si>
  <si>
    <t>女性教育施設</t>
  </si>
  <si>
    <t>文化会館</t>
  </si>
  <si>
    <t>その他の社会教育施設</t>
  </si>
  <si>
    <t>教育委員会が行った社会教育活動</t>
  </si>
  <si>
    <t>文化財保護</t>
  </si>
  <si>
    <t>財　　　　源　　　　別(つづき)</t>
  </si>
  <si>
    <t>支　　出　　項　　目　　別</t>
  </si>
  <si>
    <t>教育に係る収入総額</t>
  </si>
  <si>
    <t>消　費　的　支　出</t>
  </si>
  <si>
    <t>集計の種類：　都道府県</t>
  </si>
  <si>
    <t>合　　　　　　</t>
  </si>
  <si>
    <t>計</t>
  </si>
  <si>
    <t>財　　　　　源　　　　　別</t>
  </si>
  <si>
    <t>市　町　村　支　出　金</t>
  </si>
  <si>
    <t>地　　　方　　　債</t>
  </si>
  <si>
    <t>財　　　　　源　　　　　別　（つづき）</t>
  </si>
  <si>
    <t>教 育 に 係 る 収 入 総 額</t>
  </si>
  <si>
    <t>資　本　的　支　出</t>
  </si>
  <si>
    <t>債　務　償　還　費</t>
  </si>
  <si>
    <t>集計の種類：　市町村</t>
  </si>
  <si>
    <t>県民１人当たり</t>
  </si>
  <si>
    <t>園児１人当たり</t>
  </si>
  <si>
    <t>児童１人当たり</t>
  </si>
  <si>
    <t>１学級当たり</t>
  </si>
  <si>
    <t>生徒１人当たり</t>
  </si>
  <si>
    <t>注　教育費総額から公費に組み入れられない寄付金を除いたもので経費を算出。
　</t>
  </si>
  <si>
    <t>(単位：千円）</t>
  </si>
  <si>
    <t>　　　　　　　　　　財　　源
　施設区分</t>
  </si>
  <si>
    <t>総　　額</t>
  </si>
  <si>
    <t>知　事　部　局</t>
  </si>
  <si>
    <t>Ⅰ 生涯学習関連費</t>
  </si>
  <si>
    <t>４ 体育施設費</t>
  </si>
  <si>
    <t>５ 青少年教育施設費</t>
  </si>
  <si>
    <t>６ 女性教育施設費</t>
  </si>
  <si>
    <t>７ 文化会館費</t>
  </si>
  <si>
    <t>８ その他の生涯学習関連施設費</t>
  </si>
  <si>
    <t>10 文化財保護費</t>
  </si>
  <si>
    <t>Ⅰ 社会教育費</t>
  </si>
  <si>
    <t>１ 公民館費</t>
  </si>
  <si>
    <t>２ 図書館費</t>
  </si>
  <si>
    <t>３ 博物館費</t>
  </si>
  <si>
    <t>８ その他の社会教育施設費</t>
  </si>
  <si>
    <t>９ 教育委員会が行った
　　　社会教育活動費</t>
  </si>
  <si>
    <t>合　　　計</t>
  </si>
  <si>
    <t>表１６　専修学校教育費（支出項目別・財源別）</t>
  </si>
  <si>
    <t>表１５　中等教育学校教育費（支出項目別・財源別）</t>
  </si>
  <si>
    <t>社会教育施設</t>
  </si>
  <si>
    <t>教育行政機関</t>
  </si>
  <si>
    <t>県教育委員会</t>
  </si>
  <si>
    <t>特別支援学校</t>
  </si>
  <si>
    <t>４　特別支援学校</t>
  </si>
  <si>
    <t>特別支援学校</t>
  </si>
  <si>
    <t>表１１　特別支援学校教育費（支出項目別・財源別）</t>
  </si>
  <si>
    <t>特別支援学校</t>
  </si>
  <si>
    <t>私費</t>
  </si>
  <si>
    <t>都　道　府　県　支　出　金</t>
  </si>
  <si>
    <t>国　庫　補　助　金</t>
  </si>
  <si>
    <t>市　町　村　支　出　金</t>
  </si>
  <si>
    <t>定期的に支払義務を生ずる経費をいう。
（例）日本スポーツ振興センター共済掛金</t>
  </si>
  <si>
    <t>公費に組み入れられ
ない寄付金</t>
  </si>
  <si>
    <t>都道府県支出金</t>
  </si>
  <si>
    <t>都道府県が都道府県の租税、地方交付税、使用料、基金運用収入等の財源から教育のために支出した金額をいう。</t>
  </si>
  <si>
    <t>公費組入れ寄付金</t>
  </si>
  <si>
    <t>団体又は個人からの寄付金のうち、県の歳入に計上されなかったものをいう。　　※社会教育費のみ調査対象</t>
  </si>
  <si>
    <t>公費組入れ寄付金</t>
  </si>
  <si>
    <t>都道府県支出金</t>
  </si>
  <si>
    <t>２　都道府県支出金</t>
  </si>
  <si>
    <t>Ｃ　公費組入れ寄付金</t>
  </si>
  <si>
    <t>D　公費に組み入れられない寄付金</t>
  </si>
  <si>
    <t>公費組入れ
寄付金</t>
  </si>
  <si>
    <t>公費に組み
入れられない寄付金</t>
  </si>
  <si>
    <t>都道府県支出金</t>
  </si>
  <si>
    <t>公費組入れ寄付金</t>
  </si>
  <si>
    <t>公費組入れ寄付金</t>
  </si>
  <si>
    <t>公費に組み入れられない寄付金</t>
  </si>
  <si>
    <t>公費組入れ寄付金</t>
  </si>
  <si>
    <t>国庫補助金</t>
  </si>
  <si>
    <t>市町村支出金</t>
  </si>
  <si>
    <t>国　庫　補　助　金</t>
  </si>
  <si>
    <t>市　町　村　支　出　金</t>
  </si>
  <si>
    <t>社会教育費：</t>
  </si>
  <si>
    <t>教育行政費：</t>
  </si>
  <si>
    <t xml:space="preserve"> </t>
  </si>
  <si>
    <t>　</t>
  </si>
  <si>
    <t>消　費　的　支　出</t>
  </si>
  <si>
    <t>※公費に組み入れられない寄付金は、平成20会計年度調査以降では社会教育費を除き調査対象外。</t>
  </si>
  <si>
    <t>（単位:円）</t>
  </si>
  <si>
    <t>区  分</t>
  </si>
  <si>
    <t>a 本務教員給与</t>
  </si>
  <si>
    <t>a 本務教員給与</t>
  </si>
  <si>
    <t>　</t>
  </si>
  <si>
    <t>公費に組み入れられない寄付金</t>
  </si>
  <si>
    <t>地　　　方　　　債</t>
  </si>
  <si>
    <t>(単位：円）</t>
  </si>
  <si>
    <t>市町名</t>
  </si>
  <si>
    <t>小　　学　　校</t>
  </si>
  <si>
    <t>中　　学　　校</t>
  </si>
  <si>
    <t>　</t>
  </si>
  <si>
    <t>　　</t>
  </si>
  <si>
    <t>支出項目別内訳</t>
  </si>
  <si>
    <t>国庫補助金</t>
  </si>
  <si>
    <t>市町村支出金</t>
  </si>
  <si>
    <t>資本的支出</t>
  </si>
  <si>
    <t>教育費総額</t>
  </si>
  <si>
    <t>－</t>
  </si>
  <si>
    <t>－</t>
  </si>
  <si>
    <t>　</t>
  </si>
  <si>
    <t>(単位：千円)</t>
  </si>
  <si>
    <t>都　道　府　県　支　出　金</t>
  </si>
  <si>
    <t>(再褐)教育行政費のうち奨学費</t>
  </si>
  <si>
    <t>教育行政費のうち奨学費(再褐)</t>
  </si>
  <si>
    <t>教育行政費の消費的支出のうち、学校の児童・生徒のために奨学費(学校教育費調査票に計上した奨学費は除く。)として支出した経費をいう。
※大学・短期大学及び私立学校を対象として奨学費については対象外
(例)奨学資金貸付金、奨学団体等を経由して支出した奨学金</t>
  </si>
  <si>
    <t>(単位：千円）</t>
  </si>
  <si>
    <t>教育行政費のうち奨学費
(再褐)</t>
  </si>
  <si>
    <t>地　　　方　　　債</t>
  </si>
  <si>
    <t>表１８　分野別の社会教育費・教育行政費（財源別・支出項目別）─実額─</t>
  </si>
  <si>
    <t>表１９　分野別の社会教育費・教育行政費（財源別・支出項目別）─県民１人当たり経費─</t>
  </si>
  <si>
    <t>表２０　教育施設に伴う収入（教育施設別・項目別）─実額─</t>
  </si>
  <si>
    <t>表２１-１　地方教育費調査　前年度比較参照リスト</t>
  </si>
  <si>
    <t>表２１-２　地方教育費調査　前年度比較参照リスト</t>
  </si>
  <si>
    <t>表２１-３　地方教育費調査　前年度比較参照リスト</t>
  </si>
  <si>
    <t>表２２　在学者（県民）１人当たり及び１学級当たり経費の市町村別一覧</t>
  </si>
  <si>
    <t>表２３　知事部局における生涯学習関連費と県教育委員会の社会教育費</t>
  </si>
  <si>
    <t>園児数</t>
  </si>
  <si>
    <t>認定こども園</t>
  </si>
  <si>
    <t>８認定こども園</t>
  </si>
  <si>
    <t>集計の種類：　総額（都道府県＋市町村）</t>
  </si>
  <si>
    <t>義務教育学校</t>
  </si>
  <si>
    <t>幼保連携型認定こども園</t>
  </si>
  <si>
    <t>平成28年度</t>
  </si>
  <si>
    <t>認定こども園</t>
  </si>
  <si>
    <t>※幼保連携型認定こども園は、平成27会計年度から調査対象。</t>
  </si>
  <si>
    <t>幼保連携型
認定こども園</t>
  </si>
  <si>
    <t>表１７　幼保連携型認定こども園教育費（支出項目別・財源別）</t>
  </si>
  <si>
    <t>平成29年度</t>
  </si>
  <si>
    <t>義務教育学校</t>
  </si>
  <si>
    <t>平成30年度</t>
  </si>
  <si>
    <t>令和元年度</t>
  </si>
  <si>
    <t>令和２年度</t>
  </si>
  <si>
    <t>令和２年度</t>
  </si>
  <si>
    <t>令和元年度</t>
  </si>
  <si>
    <t>６ 女性関連施設費</t>
  </si>
  <si>
    <t>注　在学者数は学校基本調査（令和2年5月1日現在）、県人口は「住民基本台帳に基づく人口、人口動態及び世帯数（令和3年1月1日）」による。</t>
  </si>
  <si>
    <t>注１　社会教育費、教育行政費は県民１人当たりの額である。県人口は人口推計（令和3年1月1日）による。</t>
  </si>
  <si>
    <t>(単位：円)</t>
  </si>
  <si>
    <t>松山市</t>
  </si>
  <si>
    <t>今治市</t>
  </si>
  <si>
    <t>宇和島市</t>
  </si>
  <si>
    <t>八幡浜市</t>
  </si>
  <si>
    <t>新居浜市</t>
  </si>
  <si>
    <t>西条市</t>
  </si>
  <si>
    <t>大洲市</t>
  </si>
  <si>
    <t>伊予市</t>
  </si>
  <si>
    <t>四国中央市</t>
  </si>
  <si>
    <t>西予市</t>
  </si>
  <si>
    <t>東温市</t>
  </si>
  <si>
    <t>上島町</t>
  </si>
  <si>
    <t>久万高原町</t>
  </si>
  <si>
    <t>松前町</t>
  </si>
  <si>
    <t>砥部町</t>
  </si>
  <si>
    <t>内子町</t>
  </si>
  <si>
    <t>伊方町</t>
  </si>
  <si>
    <t>松野町</t>
  </si>
  <si>
    <t>鬼北町</t>
  </si>
  <si>
    <t>愛南町</t>
  </si>
  <si>
    <t>篠山組合</t>
  </si>
  <si>
    <t>項目</t>
  </si>
  <si>
    <t>愛　　　　媛　　　　県</t>
  </si>
  <si>
    <t>全　　　国</t>
  </si>
  <si>
    <t>会計年度</t>
  </si>
  <si>
    <t>実額</t>
  </si>
  <si>
    <t>学校教育費</t>
  </si>
  <si>
    <t>実額</t>
  </si>
  <si>
    <t>千円</t>
  </si>
  <si>
    <t>％</t>
  </si>
  <si>
    <t>平成28会計年度</t>
  </si>
  <si>
    <t>平成29会計年度</t>
  </si>
  <si>
    <t>平成30会計年度</t>
  </si>
  <si>
    <t>令和元会計年度</t>
  </si>
  <si>
    <t>令和2会計年度</t>
  </si>
  <si>
    <t>(千円)</t>
  </si>
  <si>
    <t>(％)</t>
  </si>
  <si>
    <t>対前年度
増加率</t>
  </si>
  <si>
    <t>P1　第１表</t>
  </si>
  <si>
    <t>教育分野</t>
  </si>
  <si>
    <t>構成比</t>
  </si>
  <si>
    <t>　</t>
  </si>
  <si>
    <t>中等教育学校</t>
  </si>
  <si>
    <t>幼保連携型認定こども園</t>
  </si>
  <si>
    <t>B　社会教育費</t>
  </si>
  <si>
    <t>学校教育費総額</t>
  </si>
  <si>
    <t>高等学校(全日)</t>
  </si>
  <si>
    <t>その他</t>
  </si>
  <si>
    <t>区分</t>
  </si>
  <si>
    <t>総額</t>
  </si>
  <si>
    <t>県支出金</t>
  </si>
  <si>
    <t>P２　　第３表</t>
  </si>
  <si>
    <t>P２　　第２表</t>
  </si>
  <si>
    <t>Ⅲ寄附金</t>
  </si>
  <si>
    <t>　公費に組み入れられた寄付金</t>
  </si>
  <si>
    <t>　公費に組み入れられない寄付金</t>
  </si>
  <si>
    <t>市町支出金</t>
  </si>
  <si>
    <t>寄付金</t>
  </si>
  <si>
    <t>今年度</t>
  </si>
  <si>
    <t>社会教育</t>
  </si>
  <si>
    <t>教育行政</t>
  </si>
  <si>
    <t>定時制課程</t>
  </si>
  <si>
    <t>通信制課程</t>
  </si>
  <si>
    <t>Ⅲ公費に組み入れられた寄付金</t>
  </si>
  <si>
    <t>P3　第４表</t>
  </si>
  <si>
    <t>Ⅳ公費に組み入れられない寄付金</t>
  </si>
  <si>
    <t>教　　育　　費　　総　　額</t>
  </si>
  <si>
    <t>公費に組み入れられた寄付金</t>
  </si>
  <si>
    <t>公費に組み入れられなかった寄付金</t>
  </si>
  <si>
    <t>社会
教育</t>
  </si>
  <si>
    <t>教育
行政</t>
  </si>
  <si>
    <t>専修
学校</t>
  </si>
  <si>
    <t>全日制</t>
  </si>
  <si>
    <t>定時制</t>
  </si>
  <si>
    <t>通信制</t>
  </si>
  <si>
    <t>表２　教育費総額の教育分野別推移（実額）</t>
  </si>
  <si>
    <t>２年度</t>
  </si>
  <si>
    <t>元年度</t>
  </si>
  <si>
    <t>対前年度増加率</t>
  </si>
  <si>
    <t>２年度</t>
  </si>
  <si>
    <t>千円</t>
  </si>
  <si>
    <t>％</t>
  </si>
  <si>
    <t>区分</t>
  </si>
  <si>
    <t>実　　額</t>
  </si>
  <si>
    <t>構　成　比</t>
  </si>
  <si>
    <t>教育費総額</t>
  </si>
  <si>
    <t>消費的支出</t>
  </si>
  <si>
    <t>債務償還費</t>
  </si>
  <si>
    <t>P3　第5表</t>
  </si>
  <si>
    <t>円</t>
  </si>
  <si>
    <t>Ａ　学校教育費</t>
  </si>
  <si>
    <t>幼稚園</t>
  </si>
  <si>
    <t>小学校</t>
  </si>
  <si>
    <t>中学校</t>
  </si>
  <si>
    <t>特別支援学校</t>
  </si>
  <si>
    <t>高等学校</t>
  </si>
  <si>
    <t>全日制課程</t>
  </si>
  <si>
    <t>定時制課程</t>
  </si>
  <si>
    <t>通信制課程</t>
  </si>
  <si>
    <t>中等教育学校</t>
  </si>
  <si>
    <t>専修学校</t>
  </si>
  <si>
    <t>Ｃ　教育行政費</t>
  </si>
  <si>
    <t>注　　指数は、小学校の児童１人当たり教育費を100として求めた数値である。</t>
  </si>
  <si>
    <t>指数
（小=100）</t>
  </si>
  <si>
    <t>前年度</t>
  </si>
  <si>
    <t>⇐入力要</t>
  </si>
  <si>
    <t>増減率</t>
  </si>
  <si>
    <t>増減率*100</t>
  </si>
  <si>
    <t>〔参考〕</t>
  </si>
  <si>
    <t>寄付金総額</t>
  </si>
  <si>
    <t>寄付金総額</t>
  </si>
  <si>
    <t>千円</t>
  </si>
  <si>
    <t>円</t>
  </si>
  <si>
    <t>認定こども園</t>
  </si>
  <si>
    <t>B　社会教育費</t>
  </si>
  <si>
    <t>％</t>
  </si>
  <si>
    <t>　</t>
  </si>
  <si>
    <t>寄付金
総額</t>
  </si>
  <si>
    <t>P4　第７表</t>
  </si>
  <si>
    <t>P4　第８表</t>
  </si>
  <si>
    <t>-</t>
  </si>
  <si>
    <t>構成比</t>
  </si>
  <si>
    <t>１　人件費</t>
  </si>
  <si>
    <t>２　教育活動費</t>
  </si>
  <si>
    <t>３　管理費</t>
  </si>
  <si>
    <t>４　補助活動費</t>
  </si>
  <si>
    <t>５　所定支払金</t>
  </si>
  <si>
    <t>P４　第９表</t>
  </si>
  <si>
    <t>⇐貼付用</t>
  </si>
  <si>
    <t>⇐参照元</t>
  </si>
  <si>
    <t>教育施設</t>
  </si>
  <si>
    <t>収入総額</t>
  </si>
  <si>
    <t>全教育施設</t>
  </si>
  <si>
    <t>Ａ　全学校</t>
  </si>
  <si>
    <t>B　社会教育施設</t>
  </si>
  <si>
    <t>Ｃ　教育行政機関</t>
  </si>
  <si>
    <t>P4　第10表</t>
  </si>
  <si>
    <t>支出総額</t>
  </si>
  <si>
    <t>支出項目別内訳</t>
  </si>
  <si>
    <t>構成比</t>
  </si>
  <si>
    <t>比率</t>
  </si>
  <si>
    <t>生涯学習関連費</t>
  </si>
  <si>
    <t>千円</t>
  </si>
  <si>
    <t>体育施設費</t>
  </si>
  <si>
    <t>青少年教育施設費</t>
  </si>
  <si>
    <t>女性教育施設費</t>
  </si>
  <si>
    <t>文化会館費</t>
  </si>
  <si>
    <t>その他の生涯学習関連施設費</t>
  </si>
  <si>
    <t>合計額</t>
  </si>
  <si>
    <t>県教育委員会所管の社会教育費</t>
  </si>
  <si>
    <t>知事部局の生涯学習関連費</t>
  </si>
  <si>
    <t>支出額</t>
  </si>
  <si>
    <t>社会教育費</t>
  </si>
  <si>
    <t>（生涯学習関連費含む）</t>
  </si>
  <si>
    <t>公民館費</t>
  </si>
  <si>
    <t>図書館費</t>
  </si>
  <si>
    <t>博物館費</t>
  </si>
  <si>
    <t>その他</t>
  </si>
  <si>
    <t>P７ 第１１表</t>
  </si>
  <si>
    <t>P７ 第12表</t>
  </si>
  <si>
    <t>文化財保護費</t>
  </si>
  <si>
    <t>教育委員会が行った社会教育活動費</t>
  </si>
  <si>
    <t>計</t>
  </si>
  <si>
    <t>学校教育費</t>
  </si>
  <si>
    <t>全学校</t>
  </si>
  <si>
    <t>１　教育費総額</t>
  </si>
  <si>
    <t>Ⅰ　消費的支出</t>
  </si>
  <si>
    <t>ａ　本務教員の給与</t>
  </si>
  <si>
    <t>ｂ　ａ以外の人件費</t>
  </si>
  <si>
    <t>Ⅱ　資本的支出</t>
  </si>
  <si>
    <t>１　土地費</t>
  </si>
  <si>
    <t>２　建築費</t>
  </si>
  <si>
    <t>３　設備・備品費</t>
  </si>
  <si>
    <t>４　図書購入費</t>
  </si>
  <si>
    <t>Ⅲ　債務償還費</t>
  </si>
  <si>
    <t>社会
教育費</t>
  </si>
  <si>
    <t>教育
行政費</t>
  </si>
  <si>
    <t>幼保連携型
認定こども園</t>
  </si>
  <si>
    <t>中等
教育学校</t>
  </si>
  <si>
    <t>通信制
高等学校</t>
  </si>
  <si>
    <t>定時制
高等学校</t>
  </si>
  <si>
    <t>全日制
高等学校</t>
  </si>
  <si>
    <t>特別
支援
学校</t>
  </si>
  <si>
    <t>　　　　　　　　　　　教育分野
　区分</t>
  </si>
  <si>
    <t>⇐参照用</t>
  </si>
  <si>
    <t>⇐貼付用</t>
  </si>
  <si>
    <t>第２表　教育費総額の教育分野別実額</t>
  </si>
  <si>
    <t>第３表　教育費総額の財源別実額</t>
  </si>
  <si>
    <t>対前年度
増加率</t>
  </si>
  <si>
    <t>財　　源</t>
  </si>
  <si>
    <t>教　育　分　野</t>
  </si>
  <si>
    <t>実　額</t>
  </si>
  <si>
    <t>学　校　教　育　費</t>
  </si>
  <si>
    <t>全日制</t>
  </si>
  <si>
    <t>定時制</t>
  </si>
  <si>
    <t>通信制</t>
  </si>
  <si>
    <t>特別支援学校</t>
  </si>
  <si>
    <t>教育費総額</t>
  </si>
  <si>
    <t>　　　　　　　　　　　教育分野
　区　分</t>
  </si>
  <si>
    <t>幼　稚　園</t>
  </si>
  <si>
    <t>小　学　校</t>
  </si>
  <si>
    <t>中　学　校</t>
  </si>
  <si>
    <t>専　修　学　校</t>
  </si>
  <si>
    <t>各教育分野の教育費総額に占める割合</t>
  </si>
  <si>
    <t>在学者（県民）1人当たり</t>
  </si>
  <si>
    <t>寄付金総額の対前年度増加率</t>
  </si>
  <si>
    <t>　　　　　　寄付金
教育分野</t>
  </si>
  <si>
    <t>１　人　件　費</t>
  </si>
  <si>
    <t>３　管　理　費</t>
  </si>
  <si>
    <t>高等学校（全日制）</t>
  </si>
  <si>
    <t>注２</t>
  </si>
  <si>
    <t>注１</t>
  </si>
  <si>
    <t>教育施設に伴う収入総額は、一般会計と特別会計の合計額である。</t>
  </si>
  <si>
    <t>教育費(公費)の支出総額は、国庫補助金、県支出金、市町支出金、地方債及び公費に組み入れた寄 付金の合計額である。</t>
  </si>
  <si>
    <t>教育費（公費）の
支出総額　(ｂ)</t>
  </si>
  <si>
    <t>実 額 (ａ)</t>
  </si>
  <si>
    <t>（ａ）／（ｂ）</t>
  </si>
  <si>
    <t>比率</t>
  </si>
  <si>
    <t xml:space="preserve"> 区             分 </t>
  </si>
  <si>
    <t>市町支出金</t>
  </si>
  <si>
    <t>Ａ　消費的支出</t>
  </si>
  <si>
    <t>Ｂ　資本的支出</t>
  </si>
  <si>
    <t>Ｃ　債務償還費</t>
  </si>
  <si>
    <t>（合計を100に合わせるためにところどころ　「+0.1」　ｏｒ　「-0.1」している。</t>
  </si>
  <si>
    <t>⇐計算用</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</si>
</sst>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_ "/>
    <numFmt numFmtId="179" formatCode="\(#,##0\);[Red]\-#,##0.0"/>
    <numFmt numFmtId="180" formatCode="#,##0;&quot;△ &quot;#,##0"/>
    <numFmt numFmtId="181" formatCode="#,##0.0;&quot;△ &quot;#,##0.0"/>
    <numFmt numFmtId="182" formatCode="#,##0.0;[Red]\-#,##0.0"/>
    <numFmt numFmtId="183" formatCode="#,##0.0_);[Red]\(#,##0.0\)"/>
    <numFmt numFmtId="184" formatCode="[&lt;=999]000;[&lt;=9999]000\-00;000\-0000"/>
    <numFmt numFmtId="185" formatCode="0.0;&quot;△ &quot;0.0"/>
    <numFmt numFmtId="186" formatCode="0.E+00"/>
    <numFmt numFmtId="187" formatCode="0_ "/>
    <numFmt numFmtId="188" formatCode="&quot;¥&quot;#,##0_);[Red]\(&quot;¥&quot;#,##0\)"/>
    <numFmt numFmtId="189" formatCode="#,##0.0_ ;[Red]\-#,##0.0\ "/>
    <numFmt numFmtId="190" formatCode="0.0_ "/>
    <numFmt numFmtId="191" formatCode="0.0%"/>
    <numFmt numFmtId="192" formatCode="0.00_ "/>
    <numFmt numFmtId="193" formatCode="0.0000_ "/>
    <numFmt numFmtId="194" formatCode="0.00000_ "/>
    <numFmt numFmtId="195" formatCode="0.000_ "/>
    <numFmt numFmtId="196" formatCode="0_);[Red]\(0\)"/>
    <numFmt numFmtId="197" formatCode="0.0_);[Red]\(0.0\)"/>
    <numFmt numFmtId="198" formatCode="0.00_);[Red]\(0.00\)"/>
    <numFmt numFmtId="199" formatCode="0.000_);[Red]\(0.000\)"/>
    <numFmt numFmtId="200" formatCode="0.0"/>
    <numFmt numFmtId="201" formatCode="&quot;Yes&quot;;&quot;Yes&quot;;&quot;No&quot;"/>
    <numFmt numFmtId="202" formatCode="&quot;True&quot;;&quot;True&quot;;&quot;False&quot;"/>
    <numFmt numFmtId="203" formatCode="&quot;On&quot;;&quot;On&quot;;&quot;Off&quot;"/>
    <numFmt numFmtId="204" formatCode="[$€-2]\ #,##0.00_);[Red]\([$€-2]\ #,##0.00\)"/>
    <numFmt numFmtId="205" formatCode="#,##0.00;&quot;△ &quot;#,##0.00"/>
    <numFmt numFmtId="206" formatCode="0.000;&quot;△ &quot;0.000"/>
    <numFmt numFmtId="207" formatCode="0.000"/>
    <numFmt numFmtId="208" formatCode="0;&quot;△ &quot;0"/>
    <numFmt numFmtId="209" formatCode="0.0000000"/>
    <numFmt numFmtId="210" formatCode="0;&quot;△ &quot;0.0"/>
    <numFmt numFmtId="211" formatCode="0.0_ ;[Red]\-0.0\ "/>
    <numFmt numFmtId="212" formatCode="0.000000000000000_ "/>
    <numFmt numFmtId="213" formatCode="#,##0.0_ "/>
  </numFmts>
  <fonts count="97">
    <font>
      <sz val="11"/>
      <name val="ＭＳ Ｐゴシック"/>
      <family val="3"/>
    </font>
    <font>
      <sz val="12"/>
      <name val="ＭＳ ゴシック"/>
      <family val="3"/>
    </font>
    <font>
      <sz val="6"/>
      <name val="ＭＳ Ｐゴシック"/>
      <family val="3"/>
    </font>
    <font>
      <sz val="12"/>
      <name val="ＭＳ 明朝"/>
      <family val="1"/>
    </font>
    <font>
      <sz val="10"/>
      <name val="ＭＳ 明朝"/>
      <family val="1"/>
    </font>
    <font>
      <sz val="11"/>
      <name val="ＭＳ 明朝"/>
      <family val="1"/>
    </font>
    <font>
      <b/>
      <sz val="11"/>
      <name val="ＭＳ 明朝"/>
      <family val="1"/>
    </font>
    <font>
      <sz val="6"/>
      <name val="ＭＳ Ｐ明朝"/>
      <family val="1"/>
    </font>
    <font>
      <sz val="9"/>
      <name val="ＭＳ 明朝"/>
      <family val="1"/>
    </font>
    <font>
      <sz val="14"/>
      <name val="ＭＳ ゴシック"/>
      <family val="3"/>
    </font>
    <font>
      <sz val="11"/>
      <name val="ＭＳ Ｐ明朝"/>
      <family val="1"/>
    </font>
    <font>
      <sz val="36"/>
      <name val="ＭＳ ゴシック"/>
      <family val="3"/>
    </font>
    <font>
      <sz val="14"/>
      <name val="ＭＳ 明朝"/>
      <family val="1"/>
    </font>
    <font>
      <sz val="14"/>
      <color indexed="12"/>
      <name val="ＭＳ ゴシック"/>
      <family val="3"/>
    </font>
    <font>
      <sz val="11"/>
      <color indexed="12"/>
      <name val="ＭＳ 明朝"/>
      <family val="1"/>
    </font>
    <font>
      <sz val="11"/>
      <name val="ＭＳ ゴシック"/>
      <family val="3"/>
    </font>
    <font>
      <u val="single"/>
      <sz val="8.25"/>
      <color indexed="12"/>
      <name val="ＭＳ Ｐゴシック"/>
      <family val="3"/>
    </font>
    <font>
      <u val="single"/>
      <sz val="8.25"/>
      <color indexed="36"/>
      <name val="ＭＳ Ｐゴシック"/>
      <family val="3"/>
    </font>
    <font>
      <sz val="14"/>
      <name val="ＭＳ Ｐゴシック"/>
      <family val="3"/>
    </font>
    <font>
      <sz val="6"/>
      <name val="ＭＳ 明朝"/>
      <family val="1"/>
    </font>
    <font>
      <sz val="11"/>
      <color indexed="10"/>
      <name val="ＭＳ 明朝"/>
      <family val="1"/>
    </font>
    <font>
      <sz val="9"/>
      <name val="ＭＳ Ｐ明朝"/>
      <family val="1"/>
    </font>
    <font>
      <sz val="10"/>
      <name val="ＭＳ Ｐ明朝"/>
      <family val="1"/>
    </font>
    <font>
      <sz val="8"/>
      <name val="ＭＳ Ｐ明朝"/>
      <family val="1"/>
    </font>
    <font>
      <sz val="9"/>
      <color indexed="63"/>
      <name val="ＭＳ Ｐゴシック"/>
      <family val="3"/>
    </font>
    <font>
      <sz val="10"/>
      <color indexed="8"/>
      <name val="ＭＳ Ｐゴシック"/>
      <family val="3"/>
    </font>
    <font>
      <sz val="6"/>
      <color indexed="53"/>
      <name val="ＭＳ Ｐ明朝"/>
      <family val="1"/>
    </font>
    <font>
      <sz val="8"/>
      <name val="ＭＳ 明朝"/>
      <family val="1"/>
    </font>
    <font>
      <b/>
      <sz val="11"/>
      <name val="ＭＳ Ｐゴシック"/>
      <family val="3"/>
    </font>
    <font>
      <b/>
      <sz val="10"/>
      <name val="ＭＳ Ｐ明朝"/>
      <family val="1"/>
    </font>
    <font>
      <sz val="10"/>
      <name val="ＭＳ Ｐゴシック"/>
      <family val="3"/>
    </font>
    <font>
      <b/>
      <sz val="10"/>
      <name val="ＭＳ 明朝"/>
      <family val="1"/>
    </font>
    <font>
      <sz val="10"/>
      <color indexed="8"/>
      <name val="ＭＳ Ｐ明朝"/>
      <family val="1"/>
    </font>
    <font>
      <sz val="8"/>
      <name val="ＭＳ Ｐゴシック"/>
      <family val="3"/>
    </font>
    <font>
      <b/>
      <sz val="9"/>
      <name val="ＭＳ Ｐ明朝"/>
      <family val="1"/>
    </font>
    <font>
      <sz val="9"/>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b/>
      <sz val="11"/>
      <color indexed="10"/>
      <name val="ＭＳ Ｐゴシック"/>
      <family val="3"/>
    </font>
    <font>
      <sz val="11"/>
      <color indexed="10"/>
      <name val="ＭＳ Ｐ明朝"/>
      <family val="1"/>
    </font>
    <font>
      <sz val="9"/>
      <color indexed="10"/>
      <name val="ＭＳ Ｐ明朝"/>
      <family val="1"/>
    </font>
    <font>
      <b/>
      <sz val="11"/>
      <color indexed="10"/>
      <name val="Calibri"/>
      <family val="2"/>
    </font>
    <font>
      <sz val="11"/>
      <color indexed="10"/>
      <name val="Calibri"/>
      <family val="2"/>
    </font>
    <font>
      <b/>
      <sz val="8"/>
      <color indexed="8"/>
      <name val="ＭＳ Ｐ明朝"/>
      <family val="1"/>
    </font>
    <font>
      <b/>
      <sz val="8"/>
      <color indexed="8"/>
      <name val="ＭＳ Ｐゴシック"/>
      <family val="3"/>
    </font>
    <font>
      <b/>
      <sz val="8"/>
      <color indexed="8"/>
      <name val="Calibri"/>
      <family val="2"/>
    </font>
    <font>
      <b/>
      <sz val="9"/>
      <color indexed="8"/>
      <name val="ＭＳ Ｐゴシック"/>
      <family val="3"/>
    </font>
    <font>
      <b/>
      <sz val="9"/>
      <color indexed="8"/>
      <name val="Calibri"/>
      <family val="2"/>
    </font>
    <font>
      <sz val="8"/>
      <color indexed="8"/>
      <name val="ＭＳ Ｐゴシック"/>
      <family val="3"/>
    </font>
    <font>
      <sz val="6"/>
      <color indexed="8"/>
      <name val="ＭＳ Ｐゴシック"/>
      <family val="3"/>
    </font>
    <font>
      <sz val="9"/>
      <color indexed="8"/>
      <name val="ＭＳ Ｐゴシック"/>
      <family val="3"/>
    </font>
    <font>
      <sz val="9"/>
      <color indexed="8"/>
      <name val="Calibri"/>
      <family val="2"/>
    </font>
    <font>
      <sz val="14"/>
      <color indexed="10"/>
      <name val="Calibri"/>
      <family val="2"/>
    </font>
    <font>
      <sz val="14"/>
      <color indexed="10"/>
      <name val="ＭＳ Ｐゴシック"/>
      <family val="3"/>
    </font>
    <font>
      <b/>
      <sz val="9"/>
      <color indexed="8"/>
      <name val="ＭＳ 明朝"/>
      <family val="1"/>
    </font>
    <font>
      <b/>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theme="0"/>
      <name val="ＭＳ 明朝"/>
      <family val="1"/>
    </font>
    <font>
      <sz val="11"/>
      <name val="Calibri"/>
      <family val="3"/>
    </font>
    <font>
      <sz val="11"/>
      <color rgb="FFFF0000"/>
      <name val="ＭＳ Ｐゴシック"/>
      <family val="3"/>
    </font>
    <font>
      <b/>
      <sz val="11"/>
      <color rgb="FFFF0000"/>
      <name val="ＭＳ Ｐゴシック"/>
      <family val="3"/>
    </font>
    <font>
      <sz val="11"/>
      <color rgb="FFFF0000"/>
      <name val="ＭＳ Ｐ明朝"/>
      <family val="1"/>
    </font>
    <font>
      <sz val="9"/>
      <color rgb="FFFF0000"/>
      <name val="ＭＳ Ｐ明朝"/>
      <family val="1"/>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FFFF99"/>
        <bgColor indexed="64"/>
      </patternFill>
    </fill>
    <fill>
      <patternFill patternType="solid">
        <fgColor rgb="FFCCFFCC"/>
        <bgColor indexed="64"/>
      </patternFill>
    </fill>
    <fill>
      <patternFill patternType="solid">
        <fgColor theme="2"/>
        <bgColor indexed="64"/>
      </patternFill>
    </fill>
    <fill>
      <patternFill patternType="solid">
        <fgColor rgb="FFCCFFFF"/>
        <bgColor indexed="64"/>
      </patternFill>
    </fill>
    <fill>
      <patternFill patternType="solid">
        <fgColor rgb="FFFFFFFF"/>
        <bgColor indexed="64"/>
      </patternFill>
    </fill>
    <fill>
      <patternFill patternType="solid">
        <fgColor theme="2" tint="-0.09996999800205231"/>
        <bgColor indexed="64"/>
      </patternFill>
    </fill>
    <fill>
      <patternFill patternType="solid">
        <fgColor rgb="FFEAEAEA"/>
        <bgColor indexed="64"/>
      </patternFill>
    </fill>
    <fill>
      <patternFill patternType="solid">
        <fgColor rgb="FFDDDDDD"/>
        <bgColor indexed="64"/>
      </patternFill>
    </fill>
    <fill>
      <patternFill patternType="solid">
        <fgColor rgb="FF99FF99"/>
        <bgColor indexed="64"/>
      </patternFill>
    </fill>
    <fill>
      <patternFill patternType="solid">
        <fgColor rgb="FFFFCC66"/>
        <bgColor indexed="64"/>
      </patternFill>
    </fill>
    <fill>
      <patternFill patternType="solid">
        <fgColor rgb="FFFFFF66"/>
        <bgColor indexed="64"/>
      </patternFill>
    </fill>
    <fill>
      <patternFill patternType="solid">
        <fgColor rgb="FFFF9966"/>
        <bgColor indexed="64"/>
      </patternFill>
    </fill>
  </fills>
  <borders count="2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style="hair"/>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style="thin"/>
      <bottom style="thin"/>
    </border>
    <border>
      <left style="thin"/>
      <right style="thin"/>
      <top style="thin"/>
      <bottom style="double"/>
    </border>
    <border>
      <left style="thin"/>
      <right style="thin"/>
      <top style="thin"/>
      <bottom style="medium"/>
    </border>
    <border>
      <left style="thin"/>
      <right style="thin"/>
      <top style="medium"/>
      <bottom style="double"/>
    </border>
    <border>
      <left style="thin"/>
      <right style="thin"/>
      <top>
        <color indexed="63"/>
      </top>
      <bottom style="thin"/>
    </border>
    <border>
      <left style="thin"/>
      <right>
        <color indexed="63"/>
      </right>
      <top style="thin"/>
      <bottom style="thin"/>
    </border>
    <border>
      <left style="thin"/>
      <right style="medium"/>
      <top style="thin"/>
      <bottom style="thin"/>
    </border>
    <border>
      <left style="medium"/>
      <right style="medium"/>
      <top style="thin"/>
      <bottom style="thin"/>
    </border>
    <border>
      <left>
        <color indexed="63"/>
      </left>
      <right style="thin"/>
      <top style="medium"/>
      <bottom style="double"/>
    </border>
    <border>
      <left style="thin"/>
      <right style="medium"/>
      <top style="medium"/>
      <bottom style="double"/>
    </border>
    <border>
      <left style="medium"/>
      <right style="medium"/>
      <top style="medium"/>
      <bottom style="double"/>
    </border>
    <border>
      <left style="medium"/>
      <right style="medium"/>
      <top>
        <color indexed="63"/>
      </top>
      <bottom style="thin"/>
    </border>
    <border>
      <left style="medium"/>
      <right style="double"/>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medium"/>
      <right style="medium"/>
      <top style="thin"/>
      <bottom style="double"/>
    </border>
    <border>
      <left>
        <color indexed="63"/>
      </left>
      <right>
        <color indexed="63"/>
      </right>
      <top style="thin"/>
      <bottom style="thin"/>
    </border>
    <border>
      <left>
        <color indexed="63"/>
      </left>
      <right style="medium"/>
      <top style="thin"/>
      <bottom style="thin"/>
    </border>
    <border>
      <left style="thin"/>
      <right style="medium"/>
      <top style="thin"/>
      <bottom style="double"/>
    </border>
    <border>
      <left style="medium"/>
      <right style="medium"/>
      <top style="double"/>
      <bottom style="double"/>
    </border>
    <border>
      <left style="medium"/>
      <right style="medium"/>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style="double"/>
    </border>
    <border>
      <left>
        <color indexed="63"/>
      </left>
      <right style="thin"/>
      <top>
        <color indexed="63"/>
      </top>
      <bottom style="medium"/>
    </border>
    <border>
      <left style="thin"/>
      <right>
        <color indexed="63"/>
      </right>
      <top>
        <color indexed="63"/>
      </top>
      <bottom style="medium"/>
    </border>
    <border>
      <left style="thin"/>
      <right style="medium"/>
      <top>
        <color indexed="63"/>
      </top>
      <bottom style="thin"/>
    </border>
    <border>
      <left style="thin"/>
      <right style="thin"/>
      <top style="thin"/>
      <bottom>
        <color indexed="63"/>
      </bottom>
    </border>
    <border>
      <left style="thin"/>
      <right style="medium"/>
      <top style="thin"/>
      <bottom style="medium"/>
    </border>
    <border>
      <left style="thin"/>
      <right>
        <color indexed="63"/>
      </right>
      <top style="medium"/>
      <bottom>
        <color indexed="63"/>
      </bottom>
    </border>
    <border>
      <left style="hair"/>
      <right style="hair"/>
      <top style="thin"/>
      <bottom style="thin"/>
    </border>
    <border>
      <left style="hair"/>
      <right style="thin"/>
      <top style="thin"/>
      <bottom style="thin"/>
    </border>
    <border>
      <left style="thin"/>
      <right style="hair"/>
      <top style="thin"/>
      <bottom style="thin"/>
    </border>
    <border>
      <left>
        <color indexed="63"/>
      </left>
      <right style="thin"/>
      <top>
        <color indexed="63"/>
      </top>
      <bottom>
        <color indexed="63"/>
      </bottom>
    </border>
    <border>
      <left>
        <color indexed="63"/>
      </left>
      <right>
        <color indexed="63"/>
      </right>
      <top style="medium"/>
      <bottom>
        <color indexed="63"/>
      </bottom>
    </border>
    <border>
      <left style="hair"/>
      <right style="double"/>
      <top style="thin"/>
      <bottom style="thin"/>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style="double"/>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double"/>
      <bottom style="hair"/>
    </border>
    <border>
      <left style="thin"/>
      <right style="medium"/>
      <top style="hair"/>
      <bottom style="hair"/>
    </border>
    <border>
      <left style="thin"/>
      <right style="medium"/>
      <top style="hair"/>
      <bottom style="thin"/>
    </border>
    <border>
      <left style="thin"/>
      <right style="medium"/>
      <top style="hair"/>
      <bottom style="double"/>
    </border>
    <border>
      <left style="thin"/>
      <right style="medium"/>
      <top>
        <color indexed="63"/>
      </top>
      <bottom style="hair"/>
    </border>
    <border>
      <left>
        <color indexed="63"/>
      </left>
      <right>
        <color indexed="63"/>
      </right>
      <top>
        <color indexed="63"/>
      </top>
      <bottom style="thin"/>
    </border>
    <border diagonalUp="1">
      <left style="thin"/>
      <right style="thin"/>
      <top style="thin"/>
      <bottom style="medium"/>
      <diagonal style="thin"/>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style="thin"/>
      <bottom>
        <color indexed="63"/>
      </bottom>
    </border>
    <border>
      <left style="hair"/>
      <right style="medium"/>
      <top style="thin"/>
      <bottom style="thin"/>
    </border>
    <border>
      <left>
        <color indexed="63"/>
      </left>
      <right style="medium"/>
      <top style="medium"/>
      <bottom style="double"/>
    </border>
    <border>
      <left>
        <color indexed="63"/>
      </left>
      <right style="medium"/>
      <top style="thin"/>
      <bottom style="double"/>
    </border>
    <border>
      <left style="hair"/>
      <right style="hair"/>
      <top>
        <color indexed="63"/>
      </top>
      <bottom>
        <color indexed="63"/>
      </bottom>
    </border>
    <border>
      <left style="hair"/>
      <right style="hair"/>
      <top>
        <color indexed="63"/>
      </top>
      <bottom style="medium"/>
    </border>
    <border>
      <left style="thin"/>
      <right style="medium"/>
      <top style="thin"/>
      <bottom>
        <color indexed="63"/>
      </bottom>
    </border>
    <border>
      <left>
        <color indexed="63"/>
      </left>
      <right>
        <color indexed="63"/>
      </right>
      <top style="medium"/>
      <bottom style="double"/>
    </border>
    <border>
      <left>
        <color indexed="63"/>
      </left>
      <right>
        <color indexed="63"/>
      </right>
      <top style="thin"/>
      <bottom style="double"/>
    </border>
    <border>
      <left>
        <color indexed="63"/>
      </left>
      <right>
        <color indexed="63"/>
      </right>
      <top style="thin"/>
      <bottom style="medium"/>
    </border>
    <border>
      <left style="medium"/>
      <right style="medium"/>
      <top style="double"/>
      <bottom style="thin"/>
    </border>
    <border>
      <left style="thin"/>
      <right style="thin"/>
      <top style="double"/>
      <bottom style="thin"/>
    </border>
    <border>
      <left style="thin"/>
      <right style="medium"/>
      <top style="double"/>
      <bottom style="thin"/>
    </border>
    <border>
      <left>
        <color indexed="63"/>
      </left>
      <right style="medium"/>
      <top>
        <color indexed="63"/>
      </top>
      <bottom style="thin"/>
    </border>
    <border>
      <left>
        <color indexed="63"/>
      </left>
      <right style="medium"/>
      <top style="thin"/>
      <bottom style="medium"/>
    </border>
    <border>
      <left style="medium"/>
      <right style="medium"/>
      <top style="thin"/>
      <bottom>
        <color indexed="63"/>
      </bottom>
    </border>
    <border diagonalUp="1">
      <left style="thin"/>
      <right style="thin"/>
      <top style="thin"/>
      <bottom style="double"/>
      <diagonal style="thin"/>
    </border>
    <border>
      <left style="thin"/>
      <right>
        <color indexed="63"/>
      </right>
      <top style="medium"/>
      <bottom style="double"/>
    </border>
    <border>
      <left style="thin"/>
      <right style="thin"/>
      <top style="hair"/>
      <bottom style="double"/>
    </border>
    <border>
      <left>
        <color indexed="63"/>
      </left>
      <right style="thin"/>
      <top style="thin"/>
      <bottom style="medium"/>
    </border>
    <border>
      <left style="medium"/>
      <right style="double"/>
      <top style="medium"/>
      <bottom style="double"/>
    </border>
    <border>
      <left style="medium"/>
      <right style="double"/>
      <top style="thin"/>
      <bottom style="thin"/>
    </border>
    <border>
      <left style="medium"/>
      <right style="double"/>
      <top style="thin"/>
      <bottom>
        <color indexed="63"/>
      </bottom>
    </border>
    <border>
      <left style="medium"/>
      <right style="double"/>
      <top style="double"/>
      <bottom style="thin"/>
    </border>
    <border>
      <left style="double"/>
      <right style="thin"/>
      <top style="double"/>
      <bottom style="thin"/>
    </border>
    <border>
      <left style="medium"/>
      <right>
        <color indexed="63"/>
      </right>
      <top style="thin"/>
      <bottom style="thin"/>
    </border>
    <border>
      <left style="double"/>
      <right style="thin"/>
      <top style="thin"/>
      <bottom style="thin"/>
    </border>
    <border>
      <left style="medium"/>
      <right style="double"/>
      <top style="double"/>
      <bottom style="double"/>
    </border>
    <border>
      <left>
        <color indexed="63"/>
      </left>
      <right style="thin"/>
      <top style="double"/>
      <bottom style="double"/>
    </border>
    <border>
      <left style="thin"/>
      <right style="medium"/>
      <top style="double"/>
      <bottom style="double"/>
    </border>
    <border>
      <left>
        <color indexed="63"/>
      </left>
      <right style="medium"/>
      <top style="double"/>
      <bottom style="double"/>
    </border>
    <border>
      <left style="medium"/>
      <right style="double"/>
      <top>
        <color indexed="63"/>
      </top>
      <bottom style="medium"/>
    </border>
    <border>
      <left style="thin"/>
      <right style="medium"/>
      <top style="medium"/>
      <bottom style="thin"/>
    </border>
    <border>
      <left style="medium"/>
      <right style="thin"/>
      <top>
        <color indexed="63"/>
      </top>
      <bottom style="thin"/>
    </border>
    <border>
      <left style="medium"/>
      <right style="thin"/>
      <top style="thin"/>
      <bottom style="thin"/>
    </border>
    <border>
      <left style="medium"/>
      <right style="thin"/>
      <top style="thin"/>
      <bottom style="double"/>
    </border>
    <border>
      <left style="medium"/>
      <right style="thin"/>
      <top style="thin"/>
      <bottom style="medium"/>
    </border>
    <border>
      <left style="hair"/>
      <right style="medium"/>
      <top>
        <color indexed="63"/>
      </top>
      <bottom>
        <color indexed="63"/>
      </bottom>
    </border>
    <border>
      <left style="hair"/>
      <right style="double"/>
      <top>
        <color indexed="63"/>
      </top>
      <bottom>
        <color indexed="63"/>
      </bottom>
    </border>
    <border>
      <left>
        <color indexed="63"/>
      </left>
      <right style="medium"/>
      <top>
        <color indexed="63"/>
      </top>
      <bottom>
        <color indexed="63"/>
      </bottom>
    </border>
    <border>
      <left style="thin"/>
      <right style="hair"/>
      <top style="thin"/>
      <bottom>
        <color indexed="63"/>
      </bottom>
    </border>
    <border>
      <left>
        <color indexed="63"/>
      </left>
      <right style="hair"/>
      <top>
        <color indexed="63"/>
      </top>
      <bottom>
        <color indexed="63"/>
      </bottom>
    </border>
    <border>
      <left style="hair"/>
      <right style="thin"/>
      <top>
        <color indexed="63"/>
      </top>
      <bottom>
        <color indexed="63"/>
      </bottom>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thin"/>
      <right style="hair"/>
      <top>
        <color indexed="63"/>
      </top>
      <bottom style="medium"/>
    </border>
    <border>
      <left>
        <color indexed="63"/>
      </left>
      <right style="hair"/>
      <top>
        <color indexed="63"/>
      </top>
      <bottom style="medium"/>
    </border>
    <border>
      <left style="hair"/>
      <right style="thin"/>
      <top>
        <color indexed="63"/>
      </top>
      <bottom style="medium"/>
    </border>
    <border>
      <left style="hair"/>
      <right style="medium"/>
      <top>
        <color indexed="63"/>
      </top>
      <bottom style="medium"/>
    </border>
    <border>
      <left style="hair"/>
      <right style="double"/>
      <top>
        <color indexed="63"/>
      </top>
      <bottom style="medium"/>
    </border>
    <border>
      <left style="double"/>
      <right style="hair"/>
      <top style="thin"/>
      <bottom>
        <color indexed="63"/>
      </bottom>
    </border>
    <border>
      <left style="double"/>
      <right style="hair"/>
      <top>
        <color indexed="63"/>
      </top>
      <bottom>
        <color indexed="63"/>
      </bottom>
    </border>
    <border>
      <left style="double"/>
      <right style="hair"/>
      <top>
        <color indexed="63"/>
      </top>
      <bottom style="medium"/>
    </border>
    <border>
      <left style="thin"/>
      <right style="thin"/>
      <top style="medium"/>
      <bottom style="medium"/>
    </border>
    <border>
      <left style="thin"/>
      <right style="medium"/>
      <top style="medium"/>
      <bottom style="medium"/>
    </border>
    <border>
      <left>
        <color indexed="63"/>
      </left>
      <right style="thin"/>
      <top style="thin"/>
      <bottom style="double"/>
    </border>
    <border>
      <left>
        <color indexed="63"/>
      </left>
      <right style="thin"/>
      <top style="thin"/>
      <bottom>
        <color indexed="63"/>
      </bottom>
    </border>
    <border>
      <left style="medium"/>
      <right style="double"/>
      <top style="thin"/>
      <bottom style="double"/>
    </border>
    <border>
      <left style="thin"/>
      <right>
        <color indexed="63"/>
      </right>
      <top style="medium"/>
      <bottom style="thin"/>
    </border>
    <border>
      <left style="thin"/>
      <right>
        <color indexed="63"/>
      </right>
      <top style="thin"/>
      <bottom style="double"/>
    </border>
    <border>
      <left style="thin"/>
      <right>
        <color indexed="63"/>
      </right>
      <top style="thin"/>
      <bottom style="medium"/>
    </border>
    <border diagonalUp="1">
      <left style="thin"/>
      <right style="medium"/>
      <top style="medium"/>
      <bottom style="thin"/>
      <diagonal style="thin"/>
    </border>
    <border diagonalUp="1">
      <left style="thin"/>
      <right style="medium"/>
      <top style="thin"/>
      <bottom style="thin"/>
      <diagonal style="thin"/>
    </border>
    <border diagonalUp="1">
      <left style="thin"/>
      <right style="medium"/>
      <top style="double"/>
      <bottom style="thin"/>
      <diagonal style="thin"/>
    </border>
    <border diagonalUp="1">
      <left style="thin"/>
      <right style="medium"/>
      <top>
        <color indexed="63"/>
      </top>
      <bottom style="thin"/>
      <diagonal style="thin"/>
    </border>
    <border>
      <left style="thin"/>
      <right>
        <color indexed="63"/>
      </right>
      <top style="double"/>
      <bottom style="thin"/>
    </border>
    <border>
      <left style="thin"/>
      <right>
        <color indexed="63"/>
      </right>
      <top style="double"/>
      <bottom style="double"/>
    </border>
    <border>
      <left>
        <color indexed="63"/>
      </left>
      <right style="medium"/>
      <top>
        <color indexed="63"/>
      </top>
      <bottom style="medium"/>
    </border>
    <border diagonalUp="1">
      <left style="thin"/>
      <right style="thin"/>
      <top style="thin"/>
      <bottom style="thin"/>
      <diagonal style="thin"/>
    </border>
    <border>
      <left style="thin"/>
      <right style="medium"/>
      <top>
        <color indexed="63"/>
      </top>
      <bottom style="double"/>
    </border>
    <border>
      <left style="thin"/>
      <right>
        <color indexed="63"/>
      </right>
      <top>
        <color indexed="63"/>
      </top>
      <bottom>
        <color indexed="63"/>
      </bottom>
    </border>
    <border>
      <left style="hair"/>
      <right style="thin"/>
      <top>
        <color indexed="63"/>
      </top>
      <bottom style="thin"/>
    </border>
    <border>
      <left style="hair"/>
      <right style="medium"/>
      <top style="thin"/>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thin"/>
      <top style="medium"/>
      <bottom style="thin"/>
    </border>
    <border>
      <left style="thin"/>
      <right style="thin"/>
      <top>
        <color indexed="63"/>
      </top>
      <bottom>
        <color indexed="63"/>
      </bottom>
    </border>
    <border>
      <left style="thin"/>
      <right style="medium"/>
      <top>
        <color indexed="63"/>
      </top>
      <bottom>
        <color indexed="63"/>
      </bottom>
    </border>
    <border diagonalUp="1">
      <left style="thin"/>
      <right style="medium"/>
      <top style="thin"/>
      <bottom style="medium"/>
      <diagonal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top style="thin"/>
      <bottom/>
    </border>
    <border>
      <left>
        <color indexed="63"/>
      </left>
      <right>
        <color indexed="63"/>
      </right>
      <top>
        <color indexed="63"/>
      </top>
      <bottom style="thick"/>
    </border>
    <border>
      <left style="thin"/>
      <right style="thin"/>
      <top style="thin"/>
      <bottom style="thick"/>
    </border>
    <border>
      <left style="thin"/>
      <right>
        <color indexed="63"/>
      </right>
      <top style="thin"/>
      <bottom style="thick"/>
    </border>
    <border>
      <left>
        <color indexed="63"/>
      </left>
      <right style="thin"/>
      <top>
        <color indexed="63"/>
      </top>
      <bottom style="thick"/>
    </border>
    <border>
      <left>
        <color indexed="63"/>
      </left>
      <right style="thin"/>
      <top style="dashed"/>
      <bottom style="thin"/>
    </border>
    <border>
      <left style="thin"/>
      <right style="dashed"/>
      <top style="thin"/>
      <bottom>
        <color indexed="63"/>
      </bottom>
    </border>
    <border>
      <left style="thin"/>
      <right style="dashed"/>
      <top>
        <color indexed="63"/>
      </top>
      <bottom style="thin"/>
    </border>
    <border>
      <left style="thin"/>
      <right style="dashed"/>
      <top style="thin"/>
      <bottom style="thin"/>
    </border>
    <border>
      <left style="thin"/>
      <right style="dashed"/>
      <top style="thin"/>
      <bottom style="thick"/>
    </border>
    <border>
      <left>
        <color indexed="63"/>
      </left>
      <right style="thin"/>
      <top style="thin"/>
      <bottom style="thick"/>
    </border>
    <border>
      <left>
        <color indexed="63"/>
      </left>
      <right>
        <color indexed="63"/>
      </right>
      <top style="dashed"/>
      <bottom style="thin"/>
    </border>
    <border>
      <left>
        <color indexed="63"/>
      </left>
      <right>
        <color indexed="63"/>
      </right>
      <top style="thin"/>
      <bottom style="thick"/>
    </border>
    <border>
      <left style="thin"/>
      <right>
        <color indexed="63"/>
      </right>
      <top style="thick"/>
      <bottom>
        <color indexed="63"/>
      </bottom>
    </border>
    <border>
      <left style="thin"/>
      <right style="thin"/>
      <top style="thick"/>
      <bottom style="thin"/>
    </border>
    <border>
      <left style="hair"/>
      <right style="thin"/>
      <top style="hair"/>
      <bottom style="thin"/>
    </border>
    <border>
      <left style="thin"/>
      <right style="hair"/>
      <top>
        <color indexed="63"/>
      </top>
      <bottom style="thin"/>
    </border>
    <border>
      <left style="thin"/>
      <right style="hair"/>
      <top style="thin"/>
      <bottom style="thick"/>
    </border>
    <border diagonalUp="1">
      <left style="thin"/>
      <right>
        <color indexed="63"/>
      </right>
      <top style="thin"/>
      <bottom style="thin"/>
      <diagonal style="thin"/>
    </border>
    <border diagonalUp="1">
      <left style="thin"/>
      <right style="thin"/>
      <top style="thin"/>
      <bottom style="thick"/>
      <diagonal style="thin"/>
    </border>
    <border diagonalUp="1">
      <left style="thin"/>
      <right>
        <color indexed="63"/>
      </right>
      <top style="thin"/>
      <bottom style="thick"/>
      <diagonal style="thin"/>
    </border>
    <border>
      <left style="thin"/>
      <right style="thin"/>
      <top>
        <color indexed="63"/>
      </top>
      <bottom style="thick"/>
    </border>
    <border>
      <left>
        <color indexed="63"/>
      </left>
      <right>
        <color indexed="63"/>
      </right>
      <top style="thick"/>
      <bottom>
        <color indexed="63"/>
      </bottom>
    </border>
    <border>
      <left>
        <color indexed="63"/>
      </left>
      <right style="thin"/>
      <top style="thick"/>
      <bottom>
        <color indexed="63"/>
      </bottom>
    </border>
    <border>
      <left style="medium"/>
      <right style="thin"/>
      <top style="medium"/>
      <bottom style="double"/>
    </border>
    <border>
      <left style="medium"/>
      <right style="thin"/>
      <top style="double"/>
      <bottom style="thin"/>
    </border>
    <border>
      <left style="medium"/>
      <right style="thin"/>
      <top style="double"/>
      <bottom>
        <color indexed="63"/>
      </bottom>
    </border>
    <border>
      <left style="medium"/>
      <right>
        <color indexed="63"/>
      </right>
      <top style="medium"/>
      <bottom style="double"/>
    </border>
    <border>
      <left style="medium"/>
      <right>
        <color indexed="63"/>
      </right>
      <top style="double"/>
      <bottom style="double"/>
    </border>
    <border>
      <left>
        <color indexed="63"/>
      </left>
      <right>
        <color indexed="63"/>
      </right>
      <top style="double"/>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style="thin"/>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style="medium"/>
      <bottom style="thin"/>
    </border>
    <border>
      <left style="medium"/>
      <right style="medium"/>
      <top style="thin"/>
      <bottom style="medium"/>
    </border>
    <border>
      <left style="medium"/>
      <right style="double"/>
      <top style="thin"/>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style="double"/>
      <bottom style="thin"/>
    </border>
    <border>
      <left style="medium"/>
      <right style="thin"/>
      <top style="medium"/>
      <bottom>
        <color indexed="63"/>
      </bottom>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thin"/>
      <top>
        <color indexed="63"/>
      </top>
      <bottom style="medium"/>
      <diagonal style="thin"/>
    </border>
    <border>
      <left>
        <color indexed="63"/>
      </left>
      <right style="medium"/>
      <top style="medium"/>
      <bottom style="thin"/>
    </border>
    <border diagonalDown="1">
      <left>
        <color indexed="63"/>
      </left>
      <right style="medium"/>
      <top style="medium"/>
      <bottom>
        <color indexed="63"/>
      </bottom>
      <diagonal style="thin"/>
    </border>
    <border diagonalDown="1">
      <left>
        <color indexed="63"/>
      </left>
      <right style="medium"/>
      <top>
        <color indexed="63"/>
      </top>
      <bottom style="medium"/>
      <diagonal style="thin"/>
    </border>
    <border>
      <left style="medium"/>
      <right style="thin"/>
      <top style="medium"/>
      <bottom style="thin"/>
    </border>
    <border>
      <left style="hair"/>
      <right style="hair"/>
      <top>
        <color indexed="63"/>
      </top>
      <bottom style="thin"/>
    </border>
    <border>
      <left style="hair"/>
      <right>
        <color indexed="63"/>
      </right>
      <top>
        <color indexed="63"/>
      </top>
      <bottom style="thin"/>
    </border>
    <border>
      <left style="medium"/>
      <right>
        <color indexed="63"/>
      </right>
      <top>
        <color indexed="63"/>
      </top>
      <bottom style="thin"/>
    </border>
    <border>
      <left style="hair"/>
      <right style="medium"/>
      <top>
        <color indexed="63"/>
      </top>
      <bottom style="thin"/>
    </border>
    <border>
      <left style="double"/>
      <right style="hair"/>
      <top>
        <color indexed="63"/>
      </top>
      <bottom style="thin"/>
    </border>
    <border>
      <left style="medium"/>
      <right style="thin"/>
      <top style="medium"/>
      <bottom style="mediu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diagonalDown="1">
      <left>
        <color indexed="63"/>
      </left>
      <right>
        <color indexed="63"/>
      </right>
      <top style="thick"/>
      <bottom>
        <color indexed="63"/>
      </bottom>
      <diagonal style="thin"/>
    </border>
    <border diagonalDown="1">
      <left>
        <color indexed="63"/>
      </left>
      <right style="thin"/>
      <top style="thick"/>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style="thin"/>
      <top>
        <color indexed="63"/>
      </top>
      <bottom style="thin"/>
      <diagonal style="thin"/>
    </border>
    <border diagonalDown="1">
      <left>
        <color indexed="63"/>
      </left>
      <right style="thin"/>
      <top style="thin"/>
      <bottom style="thin"/>
      <diagonal style="thin"/>
    </border>
    <border diagonalDown="1">
      <left style="thin"/>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17" fillId="0" borderId="0" applyNumberFormat="0" applyFill="0" applyBorder="0" applyAlignment="0" applyProtection="0"/>
    <xf numFmtId="0" fontId="89" fillId="32" borderId="0" applyNumberFormat="0" applyBorder="0" applyAlignment="0" applyProtection="0"/>
  </cellStyleXfs>
  <cellXfs count="1497">
    <xf numFmtId="0" fontId="0" fillId="0" borderId="0" xfId="0" applyAlignment="1">
      <alignment/>
    </xf>
    <xf numFmtId="0" fontId="1"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left" vertical="center" inden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13" xfId="0" applyFont="1" applyBorder="1" applyAlignment="1">
      <alignment horizontal="left" vertical="center" indent="1"/>
    </xf>
    <xf numFmtId="0" fontId="5" fillId="0" borderId="0" xfId="0" applyFont="1" applyAlignment="1">
      <alignment vertical="center"/>
    </xf>
    <xf numFmtId="0" fontId="5" fillId="0" borderId="14" xfId="0" applyFont="1" applyBorder="1" applyAlignment="1">
      <alignment horizontal="distributed" vertical="center" shrinkToFit="1"/>
    </xf>
    <xf numFmtId="0" fontId="8" fillId="0" borderId="14" xfId="0" applyFont="1" applyBorder="1" applyAlignment="1">
      <alignment horizontal="distributed" vertical="center" shrinkToFit="1"/>
    </xf>
    <xf numFmtId="0" fontId="5" fillId="0" borderId="14" xfId="0" applyFont="1" applyBorder="1" applyAlignment="1">
      <alignment horizontal="distributed" vertical="center"/>
    </xf>
    <xf numFmtId="0" fontId="5" fillId="0" borderId="14" xfId="0" applyFont="1" applyBorder="1" applyAlignment="1">
      <alignment vertical="center" shrinkToFit="1"/>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33" borderId="17" xfId="0" applyFont="1" applyFill="1" applyBorder="1" applyAlignment="1">
      <alignment horizontal="center" vertical="center"/>
    </xf>
    <xf numFmtId="178" fontId="5" fillId="34" borderId="18" xfId="0" applyNumberFormat="1" applyFont="1" applyFill="1" applyBorder="1" applyAlignment="1">
      <alignment vertical="center"/>
    </xf>
    <xf numFmtId="178" fontId="5" fillId="0" borderId="14" xfId="0" applyNumberFormat="1" applyFont="1" applyBorder="1" applyAlignment="1">
      <alignment vertical="center"/>
    </xf>
    <xf numFmtId="178" fontId="5" fillId="0" borderId="19" xfId="0" applyNumberFormat="1" applyFont="1" applyBorder="1" applyAlignment="1">
      <alignment vertical="center"/>
    </xf>
    <xf numFmtId="178" fontId="5" fillId="0" borderId="20" xfId="0" applyNumberFormat="1" applyFont="1" applyBorder="1" applyAlignment="1">
      <alignment vertical="center"/>
    </xf>
    <xf numFmtId="0" fontId="8" fillId="0" borderId="14" xfId="0" applyFont="1" applyBorder="1" applyAlignment="1">
      <alignment horizontal="distributed" vertical="center"/>
    </xf>
    <xf numFmtId="178" fontId="5" fillId="34" borderId="14" xfId="0" applyNumberFormat="1" applyFont="1" applyFill="1" applyBorder="1" applyAlignment="1">
      <alignment vertical="center"/>
    </xf>
    <xf numFmtId="178" fontId="5" fillId="34" borderId="16" xfId="0" applyNumberFormat="1" applyFont="1" applyFill="1" applyBorder="1" applyAlignment="1">
      <alignment vertical="center"/>
    </xf>
    <xf numFmtId="0" fontId="5" fillId="0" borderId="0" xfId="0" applyFont="1" applyAlignment="1">
      <alignment horizontal="right" vertical="center"/>
    </xf>
    <xf numFmtId="178" fontId="5" fillId="0" borderId="21" xfId="0" applyNumberFormat="1" applyFont="1" applyBorder="1" applyAlignment="1">
      <alignment vertical="center"/>
    </xf>
    <xf numFmtId="178" fontId="5" fillId="0" borderId="22" xfId="0" applyNumberFormat="1" applyFont="1" applyBorder="1" applyAlignment="1">
      <alignment vertical="center"/>
    </xf>
    <xf numFmtId="178" fontId="5" fillId="0" borderId="23" xfId="0" applyNumberFormat="1" applyFont="1" applyBorder="1" applyAlignment="1">
      <alignment vertical="center"/>
    </xf>
    <xf numFmtId="178" fontId="5" fillId="0" borderId="24" xfId="0" applyNumberFormat="1" applyFont="1" applyBorder="1" applyAlignment="1">
      <alignment vertical="center"/>
    </xf>
    <xf numFmtId="178" fontId="5" fillId="35" borderId="25" xfId="0" applyNumberFormat="1" applyFont="1" applyFill="1" applyBorder="1" applyAlignment="1">
      <alignment vertical="center"/>
    </xf>
    <xf numFmtId="178" fontId="5" fillId="35" borderId="26" xfId="0" applyNumberFormat="1" applyFont="1" applyFill="1" applyBorder="1" applyAlignment="1">
      <alignment vertical="center"/>
    </xf>
    <xf numFmtId="178" fontId="5" fillId="35" borderId="27" xfId="0" applyNumberFormat="1" applyFont="1" applyFill="1" applyBorder="1" applyAlignment="1">
      <alignment vertical="center"/>
    </xf>
    <xf numFmtId="178" fontId="5" fillId="35" borderId="18" xfId="0" applyNumberFormat="1" applyFont="1" applyFill="1" applyBorder="1" applyAlignment="1">
      <alignment vertical="center"/>
    </xf>
    <xf numFmtId="178" fontId="5" fillId="35" borderId="28" xfId="0" applyNumberFormat="1" applyFont="1" applyFill="1" applyBorder="1" applyAlignment="1">
      <alignment vertical="center"/>
    </xf>
    <xf numFmtId="178" fontId="5" fillId="0" borderId="29" xfId="0" applyNumberFormat="1" applyFont="1" applyBorder="1" applyAlignment="1">
      <alignment vertical="center"/>
    </xf>
    <xf numFmtId="178" fontId="5" fillId="35" borderId="21" xfId="0" applyNumberFormat="1" applyFont="1" applyFill="1" applyBorder="1" applyAlignment="1">
      <alignment vertical="center"/>
    </xf>
    <xf numFmtId="178" fontId="5" fillId="0" borderId="30" xfId="0" applyNumberFormat="1" applyFont="1" applyBorder="1" applyAlignment="1">
      <alignment vertical="center"/>
    </xf>
    <xf numFmtId="178" fontId="5" fillId="0" borderId="15" xfId="0" applyNumberFormat="1" applyFont="1" applyBorder="1" applyAlignment="1">
      <alignment vertical="center"/>
    </xf>
    <xf numFmtId="178" fontId="5" fillId="0" borderId="31" xfId="0" applyNumberFormat="1" applyFont="1" applyBorder="1" applyAlignment="1">
      <alignment vertical="center"/>
    </xf>
    <xf numFmtId="178" fontId="5" fillId="35" borderId="32" xfId="0" applyNumberFormat="1" applyFont="1" applyFill="1" applyBorder="1" applyAlignment="1">
      <alignment vertical="center"/>
    </xf>
    <xf numFmtId="178" fontId="5" fillId="0" borderId="33" xfId="0" applyNumberFormat="1" applyFont="1" applyBorder="1" applyAlignment="1">
      <alignment vertical="center"/>
    </xf>
    <xf numFmtId="178" fontId="5" fillId="35" borderId="34" xfId="0" applyNumberFormat="1" applyFont="1" applyFill="1" applyBorder="1" applyAlignment="1">
      <alignment vertical="center"/>
    </xf>
    <xf numFmtId="178" fontId="5" fillId="35" borderId="35" xfId="0" applyNumberFormat="1" applyFont="1" applyFill="1" applyBorder="1" applyAlignment="1">
      <alignment vertical="center"/>
    </xf>
    <xf numFmtId="178" fontId="5" fillId="0" borderId="36" xfId="0" applyNumberFormat="1" applyFont="1" applyBorder="1" applyAlignment="1">
      <alignment vertical="center"/>
    </xf>
    <xf numFmtId="178" fontId="5" fillId="0" borderId="37" xfId="0" applyNumberFormat="1" applyFont="1" applyBorder="1" applyAlignment="1">
      <alignment vertical="center"/>
    </xf>
    <xf numFmtId="178" fontId="5" fillId="0" borderId="14" xfId="0" applyNumberFormat="1" applyFont="1" applyFill="1" applyBorder="1" applyAlignment="1">
      <alignment vertical="center"/>
    </xf>
    <xf numFmtId="178" fontId="5" fillId="36" borderId="14" xfId="0" applyNumberFormat="1" applyFont="1" applyFill="1" applyBorder="1" applyAlignment="1">
      <alignment vertical="center"/>
    </xf>
    <xf numFmtId="178" fontId="5" fillId="33" borderId="16" xfId="0" applyNumberFormat="1" applyFont="1" applyFill="1" applyBorder="1" applyAlignment="1">
      <alignment vertical="center"/>
    </xf>
    <xf numFmtId="0" fontId="5" fillId="33" borderId="36" xfId="0" applyFont="1" applyFill="1" applyBorder="1" applyAlignment="1">
      <alignment horizontal="center" vertical="center"/>
    </xf>
    <xf numFmtId="0" fontId="5" fillId="33" borderId="36" xfId="0" applyFont="1" applyFill="1" applyBorder="1" applyAlignment="1">
      <alignment horizontal="center" vertical="center" wrapText="1"/>
    </xf>
    <xf numFmtId="0" fontId="5" fillId="33" borderId="37" xfId="0" applyFont="1" applyFill="1" applyBorder="1" applyAlignment="1">
      <alignment horizontal="center" vertical="center" wrapText="1"/>
    </xf>
    <xf numFmtId="178" fontId="5" fillId="0" borderId="18" xfId="0" applyNumberFormat="1" applyFont="1" applyBorder="1" applyAlignment="1">
      <alignment vertical="center"/>
    </xf>
    <xf numFmtId="0" fontId="5" fillId="0" borderId="14" xfId="0" applyFont="1" applyBorder="1" applyAlignment="1">
      <alignment vertical="center"/>
    </xf>
    <xf numFmtId="178" fontId="5" fillId="0" borderId="38" xfId="0" applyNumberFormat="1" applyFont="1" applyBorder="1" applyAlignment="1">
      <alignment vertical="center"/>
    </xf>
    <xf numFmtId="0" fontId="0" fillId="0" borderId="0" xfId="0" applyAlignment="1">
      <alignment horizontal="right" vertical="center"/>
    </xf>
    <xf numFmtId="38" fontId="10" fillId="0" borderId="0" xfId="49" applyFont="1" applyAlignment="1">
      <alignment horizontal="right" vertical="center"/>
    </xf>
    <xf numFmtId="0" fontId="5" fillId="33" borderId="39" xfId="0" applyFont="1" applyFill="1" applyBorder="1" applyAlignment="1">
      <alignment horizontal="center" vertical="center"/>
    </xf>
    <xf numFmtId="0" fontId="5" fillId="33" borderId="40" xfId="0" applyFont="1" applyFill="1" applyBorder="1" applyAlignment="1">
      <alignment horizontal="center" vertical="center" wrapText="1"/>
    </xf>
    <xf numFmtId="0" fontId="8" fillId="0" borderId="14" xfId="0" applyFont="1" applyBorder="1" applyAlignment="1">
      <alignment vertical="center" wrapText="1"/>
    </xf>
    <xf numFmtId="0" fontId="5" fillId="0" borderId="18" xfId="0" applyFont="1" applyBorder="1" applyAlignment="1">
      <alignment vertical="center"/>
    </xf>
    <xf numFmtId="178" fontId="5" fillId="0" borderId="41" xfId="0" applyNumberFormat="1" applyFont="1" applyBorder="1" applyAlignment="1">
      <alignment vertical="center"/>
    </xf>
    <xf numFmtId="0" fontId="5" fillId="0" borderId="42" xfId="0" applyFont="1" applyBorder="1" applyAlignment="1">
      <alignment vertical="center"/>
    </xf>
    <xf numFmtId="178" fontId="5" fillId="0" borderId="16" xfId="0" applyNumberFormat="1" applyFont="1" applyBorder="1" applyAlignment="1">
      <alignment vertical="center"/>
    </xf>
    <xf numFmtId="178" fontId="5" fillId="0" borderId="43" xfId="0" applyNumberFormat="1" applyFont="1" applyBorder="1" applyAlignment="1">
      <alignment vertical="center"/>
    </xf>
    <xf numFmtId="0" fontId="5" fillId="0" borderId="0" xfId="0" applyFont="1" applyAlignment="1">
      <alignment/>
    </xf>
    <xf numFmtId="0" fontId="11" fillId="0" borderId="0" xfId="0" applyFont="1" applyAlignment="1">
      <alignment horizontal="left"/>
    </xf>
    <xf numFmtId="0" fontId="11" fillId="0" borderId="0" xfId="0" applyFont="1" applyAlignment="1">
      <alignment/>
    </xf>
    <xf numFmtId="0" fontId="12" fillId="0" borderId="0" xfId="0" applyFont="1" applyAlignment="1">
      <alignment/>
    </xf>
    <xf numFmtId="0" fontId="12" fillId="37" borderId="44" xfId="0" applyFont="1" applyFill="1" applyBorder="1" applyAlignment="1">
      <alignment horizontal="center" vertical="center" wrapText="1"/>
    </xf>
    <xf numFmtId="0" fontId="12" fillId="37" borderId="28" xfId="0" applyFont="1" applyFill="1" applyBorder="1" applyAlignment="1">
      <alignment horizontal="center" vertical="center" wrapText="1"/>
    </xf>
    <xf numFmtId="0" fontId="12" fillId="0" borderId="45" xfId="0" applyFont="1" applyBorder="1" applyAlignment="1">
      <alignment horizontal="center" vertical="center" wrapText="1"/>
    </xf>
    <xf numFmtId="0" fontId="12" fillId="0" borderId="46" xfId="0" applyFont="1" applyBorder="1" applyAlignment="1">
      <alignment horizontal="center" vertical="center"/>
    </xf>
    <xf numFmtId="0" fontId="3" fillId="0" borderId="45" xfId="0" applyFont="1" applyBorder="1" applyAlignment="1">
      <alignment horizontal="center" vertical="center" wrapText="1"/>
    </xf>
    <xf numFmtId="0" fontId="12" fillId="0" borderId="47" xfId="0" applyFont="1" applyBorder="1" applyAlignment="1">
      <alignment horizontal="center" vertical="center" wrapText="1"/>
    </xf>
    <xf numFmtId="0" fontId="0" fillId="0" borderId="0" xfId="0" applyBorder="1" applyAlignment="1">
      <alignment/>
    </xf>
    <xf numFmtId="0" fontId="0" fillId="0" borderId="48" xfId="0" applyBorder="1" applyAlignment="1">
      <alignment horizontal="right"/>
    </xf>
    <xf numFmtId="0" fontId="0" fillId="0" borderId="0" xfId="0" applyAlignment="1">
      <alignment vertical="center"/>
    </xf>
    <xf numFmtId="0" fontId="12" fillId="33" borderId="48" xfId="0" applyFont="1" applyFill="1" applyBorder="1" applyAlignment="1">
      <alignment vertical="center"/>
    </xf>
    <xf numFmtId="0" fontId="12" fillId="0" borderId="48" xfId="0" applyFont="1" applyBorder="1" applyAlignment="1">
      <alignment vertical="center"/>
    </xf>
    <xf numFmtId="0" fontId="3" fillId="0" borderId="48" xfId="0" applyFont="1" applyBorder="1" applyAlignment="1">
      <alignment vertical="center"/>
    </xf>
    <xf numFmtId="0" fontId="0" fillId="0" borderId="39" xfId="0" applyBorder="1" applyAlignment="1">
      <alignment vertical="center"/>
    </xf>
    <xf numFmtId="0" fontId="0" fillId="0" borderId="49" xfId="0" applyBorder="1" applyAlignment="1">
      <alignment/>
    </xf>
    <xf numFmtId="0" fontId="12" fillId="38" borderId="44" xfId="0" applyFont="1" applyFill="1" applyBorder="1" applyAlignment="1">
      <alignment horizontal="centerContinuous" vertical="center" wrapText="1"/>
    </xf>
    <xf numFmtId="0" fontId="12" fillId="38" borderId="49" xfId="0" applyFont="1" applyFill="1" applyBorder="1" applyAlignment="1">
      <alignment horizontal="centerContinuous" vertical="center" wrapText="1"/>
    </xf>
    <xf numFmtId="0" fontId="12" fillId="0" borderId="50" xfId="0" applyFont="1" applyBorder="1" applyAlignment="1">
      <alignment horizontal="center" vertical="center"/>
    </xf>
    <xf numFmtId="0" fontId="0" fillId="0" borderId="51" xfId="0" applyBorder="1" applyAlignment="1">
      <alignment vertical="center"/>
    </xf>
    <xf numFmtId="0" fontId="12" fillId="37" borderId="52" xfId="0" applyFont="1" applyFill="1" applyBorder="1" applyAlignment="1">
      <alignment horizontal="center" vertical="center" wrapText="1"/>
    </xf>
    <xf numFmtId="0" fontId="12" fillId="36" borderId="44" xfId="0" applyFont="1" applyFill="1" applyBorder="1" applyAlignment="1">
      <alignment horizontal="centerContinuous" vertical="center" wrapText="1"/>
    </xf>
    <xf numFmtId="0" fontId="12" fillId="36" borderId="49" xfId="0" applyFont="1" applyFill="1" applyBorder="1" applyAlignment="1">
      <alignment horizontal="centerContinuous" vertical="center" wrapText="1"/>
    </xf>
    <xf numFmtId="0" fontId="12" fillId="36" borderId="53" xfId="0" applyFont="1" applyFill="1" applyBorder="1" applyAlignment="1">
      <alignment horizontal="centerContinuous" vertical="center" wrapText="1"/>
    </xf>
    <xf numFmtId="0" fontId="12" fillId="37" borderId="27" xfId="0" applyFont="1" applyFill="1" applyBorder="1" applyAlignment="1">
      <alignment horizontal="center" vertical="center" wrapText="1"/>
    </xf>
    <xf numFmtId="0" fontId="12" fillId="0" borderId="54" xfId="0" applyFont="1" applyBorder="1" applyAlignment="1">
      <alignment horizontal="centerContinuous" vertical="center" wrapText="1"/>
    </xf>
    <xf numFmtId="0" fontId="12" fillId="0" borderId="55" xfId="0" applyFont="1" applyBorder="1" applyAlignment="1">
      <alignment horizontal="centerContinuous" vertical="center" wrapText="1"/>
    </xf>
    <xf numFmtId="0" fontId="12" fillId="38" borderId="53" xfId="0" applyFont="1" applyFill="1" applyBorder="1" applyAlignment="1">
      <alignment horizontal="centerContinuous" vertical="center" wrapText="1"/>
    </xf>
    <xf numFmtId="0" fontId="12" fillId="39" borderId="56" xfId="0" applyFont="1" applyFill="1" applyBorder="1" applyAlignment="1">
      <alignment horizontal="centerContinuous" vertical="center"/>
    </xf>
    <xf numFmtId="0" fontId="12" fillId="39" borderId="49" xfId="0" applyFont="1" applyFill="1" applyBorder="1" applyAlignment="1">
      <alignment horizontal="centerContinuous" vertical="center"/>
    </xf>
    <xf numFmtId="178" fontId="5" fillId="0" borderId="0" xfId="0" applyNumberFormat="1" applyFont="1" applyAlignment="1">
      <alignment vertical="center"/>
    </xf>
    <xf numFmtId="178" fontId="15" fillId="0" borderId="0" xfId="0" applyNumberFormat="1" applyFont="1" applyAlignment="1">
      <alignment vertical="center"/>
    </xf>
    <xf numFmtId="178" fontId="8" fillId="33" borderId="57" xfId="0" applyNumberFormat="1" applyFont="1" applyFill="1" applyBorder="1" applyAlignment="1">
      <alignment horizontal="distributed" vertical="center" shrinkToFit="1"/>
    </xf>
    <xf numFmtId="178" fontId="8" fillId="36" borderId="57" xfId="0" applyNumberFormat="1" applyFont="1" applyFill="1" applyBorder="1" applyAlignment="1">
      <alignment horizontal="distributed" vertical="center" shrinkToFit="1"/>
    </xf>
    <xf numFmtId="178" fontId="8" fillId="34" borderId="58" xfId="0" applyNumberFormat="1" applyFont="1" applyFill="1" applyBorder="1" applyAlignment="1">
      <alignment horizontal="distributed" vertical="center" shrinkToFit="1"/>
    </xf>
    <xf numFmtId="178" fontId="5" fillId="0" borderId="0" xfId="0" applyNumberFormat="1" applyFont="1" applyAlignment="1">
      <alignment vertical="center" shrinkToFit="1"/>
    </xf>
    <xf numFmtId="0" fontId="5" fillId="0" borderId="0" xfId="0" applyFont="1" applyFill="1" applyAlignment="1">
      <alignment vertical="center"/>
    </xf>
    <xf numFmtId="0" fontId="5" fillId="0" borderId="0" xfId="0" applyFont="1" applyFill="1" applyAlignment="1">
      <alignment/>
    </xf>
    <xf numFmtId="0" fontId="5" fillId="0" borderId="59" xfId="0" applyFont="1" applyFill="1" applyBorder="1" applyAlignment="1">
      <alignment vertical="center"/>
    </xf>
    <xf numFmtId="0" fontId="5" fillId="35" borderId="14" xfId="0" applyFont="1" applyFill="1" applyBorder="1" applyAlignment="1">
      <alignment vertical="center"/>
    </xf>
    <xf numFmtId="0" fontId="5" fillId="0" borderId="14" xfId="0" applyFont="1" applyFill="1" applyBorder="1" applyAlignment="1">
      <alignment vertical="center"/>
    </xf>
    <xf numFmtId="0" fontId="5" fillId="0" borderId="18" xfId="0" applyFont="1" applyFill="1" applyBorder="1" applyAlignment="1">
      <alignment vertical="center"/>
    </xf>
    <xf numFmtId="0" fontId="4" fillId="0" borderId="14" xfId="0" applyFont="1" applyFill="1" applyBorder="1" applyAlignment="1">
      <alignment vertical="center" wrapText="1"/>
    </xf>
    <xf numFmtId="0" fontId="5" fillId="0" borderId="16" xfId="0" applyFont="1" applyFill="1" applyBorder="1" applyAlignment="1">
      <alignment vertical="center"/>
    </xf>
    <xf numFmtId="0" fontId="3" fillId="33" borderId="23" xfId="0" applyFont="1" applyFill="1" applyBorder="1" applyAlignment="1">
      <alignment horizontal="center" vertical="center"/>
    </xf>
    <xf numFmtId="0" fontId="4" fillId="0" borderId="60" xfId="0" applyFont="1" applyBorder="1" applyAlignment="1">
      <alignment vertical="center" wrapText="1"/>
    </xf>
    <xf numFmtId="0" fontId="4" fillId="0" borderId="61" xfId="0" applyFont="1" applyBorder="1" applyAlignment="1">
      <alignment vertical="center" wrapText="1"/>
    </xf>
    <xf numFmtId="0" fontId="4" fillId="0" borderId="62" xfId="0" applyFont="1" applyBorder="1" applyAlignment="1">
      <alignment vertical="center" wrapText="1"/>
    </xf>
    <xf numFmtId="0" fontId="4" fillId="0" borderId="63" xfId="0" applyFont="1" applyBorder="1" applyAlignment="1">
      <alignment vertical="center" wrapText="1"/>
    </xf>
    <xf numFmtId="0" fontId="4" fillId="0" borderId="64" xfId="0" applyFont="1" applyBorder="1" applyAlignment="1">
      <alignment vertical="center" wrapText="1"/>
    </xf>
    <xf numFmtId="0" fontId="4" fillId="0" borderId="20" xfId="0" applyFont="1" applyBorder="1" applyAlignment="1">
      <alignment vertical="center" wrapText="1"/>
    </xf>
    <xf numFmtId="0" fontId="4" fillId="0" borderId="43" xfId="0" applyFont="1" applyBorder="1" applyAlignment="1">
      <alignment vertical="center" wrapText="1"/>
    </xf>
    <xf numFmtId="176" fontId="5" fillId="34" borderId="14" xfId="0" applyNumberFormat="1" applyFont="1" applyFill="1" applyBorder="1" applyAlignment="1">
      <alignment horizontal="right" vertical="center"/>
    </xf>
    <xf numFmtId="176" fontId="5" fillId="0" borderId="14" xfId="0" applyNumberFormat="1" applyFont="1" applyBorder="1" applyAlignment="1">
      <alignment horizontal="right" vertical="center"/>
    </xf>
    <xf numFmtId="176" fontId="5" fillId="36" borderId="14" xfId="0" applyNumberFormat="1" applyFont="1" applyFill="1" applyBorder="1" applyAlignment="1">
      <alignment horizontal="right" vertical="center"/>
    </xf>
    <xf numFmtId="176" fontId="5" fillId="33" borderId="15" xfId="0" applyNumberFormat="1" applyFont="1" applyFill="1" applyBorder="1" applyAlignment="1">
      <alignment horizontal="right" vertical="center"/>
    </xf>
    <xf numFmtId="178" fontId="5" fillId="37" borderId="65" xfId="0" applyNumberFormat="1" applyFont="1" applyFill="1" applyBorder="1" applyAlignment="1">
      <alignment horizontal="right" vertical="center"/>
    </xf>
    <xf numFmtId="178" fontId="5" fillId="0" borderId="0" xfId="0" applyNumberFormat="1" applyFont="1" applyBorder="1" applyAlignment="1">
      <alignment vertical="center"/>
    </xf>
    <xf numFmtId="178" fontId="5" fillId="0" borderId="66" xfId="0" applyNumberFormat="1" applyFont="1" applyBorder="1" applyAlignment="1">
      <alignment vertical="center"/>
    </xf>
    <xf numFmtId="178" fontId="5" fillId="0" borderId="20" xfId="0" applyNumberFormat="1" applyFont="1" applyFill="1" applyBorder="1" applyAlignment="1">
      <alignment vertical="center"/>
    </xf>
    <xf numFmtId="178" fontId="5" fillId="0" borderId="15" xfId="0" applyNumberFormat="1" applyFont="1" applyFill="1" applyBorder="1" applyAlignment="1">
      <alignment vertical="center"/>
    </xf>
    <xf numFmtId="178" fontId="5" fillId="0" borderId="33" xfId="0" applyNumberFormat="1" applyFont="1" applyFill="1" applyBorder="1" applyAlignment="1">
      <alignment vertical="center"/>
    </xf>
    <xf numFmtId="0" fontId="0" fillId="0" borderId="67" xfId="0" applyBorder="1" applyAlignment="1">
      <alignment/>
    </xf>
    <xf numFmtId="0" fontId="0" fillId="0" borderId="67" xfId="0" applyBorder="1" applyAlignment="1">
      <alignment vertical="center"/>
    </xf>
    <xf numFmtId="0" fontId="12" fillId="33" borderId="0" xfId="0" applyFont="1" applyFill="1" applyBorder="1" applyAlignment="1">
      <alignment vertical="center"/>
    </xf>
    <xf numFmtId="0" fontId="12" fillId="0" borderId="0" xfId="0" applyFont="1" applyBorder="1" applyAlignment="1">
      <alignment vertical="center"/>
    </xf>
    <xf numFmtId="0" fontId="0" fillId="0" borderId="0" xfId="0" applyBorder="1" applyAlignment="1">
      <alignment vertical="center"/>
    </xf>
    <xf numFmtId="0" fontId="12" fillId="33" borderId="67" xfId="0" applyFont="1" applyFill="1" applyBorder="1" applyAlignment="1">
      <alignment vertical="center"/>
    </xf>
    <xf numFmtId="0" fontId="12" fillId="0" borderId="67" xfId="0" applyFont="1" applyBorder="1" applyAlignment="1">
      <alignment vertical="center"/>
    </xf>
    <xf numFmtId="0" fontId="0" fillId="0" borderId="68" xfId="0" applyBorder="1" applyAlignment="1">
      <alignment/>
    </xf>
    <xf numFmtId="0" fontId="0" fillId="0" borderId="69" xfId="0" applyBorder="1" applyAlignment="1">
      <alignment vertical="center"/>
    </xf>
    <xf numFmtId="0" fontId="12" fillId="36" borderId="70" xfId="0" applyFont="1" applyFill="1" applyBorder="1" applyAlignment="1">
      <alignment horizontal="centerContinuous" vertical="center" wrapText="1"/>
    </xf>
    <xf numFmtId="0" fontId="12" fillId="0" borderId="71" xfId="0" applyFont="1" applyBorder="1" applyAlignment="1">
      <alignment horizontal="centerContinuous" vertical="center" wrapText="1"/>
    </xf>
    <xf numFmtId="0" fontId="12" fillId="0" borderId="72" xfId="0" applyFont="1" applyBorder="1" applyAlignment="1">
      <alignment horizontal="center" vertical="center"/>
    </xf>
    <xf numFmtId="0" fontId="12" fillId="39" borderId="70" xfId="0" applyFont="1" applyFill="1" applyBorder="1" applyAlignment="1">
      <alignment horizontal="centerContinuous" vertical="center"/>
    </xf>
    <xf numFmtId="178" fontId="5" fillId="35" borderId="29" xfId="0" applyNumberFormat="1" applyFont="1" applyFill="1" applyBorder="1" applyAlignment="1">
      <alignment vertical="center"/>
    </xf>
    <xf numFmtId="0" fontId="5" fillId="0" borderId="20" xfId="0" applyFont="1" applyBorder="1" applyAlignment="1">
      <alignment vertical="center" shrinkToFit="1"/>
    </xf>
    <xf numFmtId="0" fontId="6" fillId="33" borderId="73" xfId="0" applyFont="1" applyFill="1" applyBorder="1" applyAlignment="1">
      <alignment horizontal="center" vertical="center"/>
    </xf>
    <xf numFmtId="176" fontId="6" fillId="0" borderId="32" xfId="0" applyNumberFormat="1" applyFont="1" applyBorder="1" applyAlignment="1">
      <alignment horizontal="right" vertical="center"/>
    </xf>
    <xf numFmtId="176" fontId="6" fillId="33" borderId="74" xfId="0" applyNumberFormat="1" applyFont="1" applyFill="1" applyBorder="1" applyAlignment="1">
      <alignment horizontal="right" vertical="center"/>
    </xf>
    <xf numFmtId="178" fontId="5" fillId="34" borderId="14" xfId="0" applyNumberFormat="1" applyFont="1" applyFill="1" applyBorder="1" applyAlignment="1">
      <alignment horizontal="right" vertical="center"/>
    </xf>
    <xf numFmtId="178" fontId="5" fillId="0" borderId="14" xfId="0" applyNumberFormat="1" applyFont="1" applyBorder="1" applyAlignment="1">
      <alignment horizontal="right" vertical="center"/>
    </xf>
    <xf numFmtId="178" fontId="5" fillId="36" borderId="14" xfId="0" applyNumberFormat="1" applyFont="1" applyFill="1" applyBorder="1" applyAlignment="1">
      <alignment horizontal="right" vertical="center"/>
    </xf>
    <xf numFmtId="178" fontId="5" fillId="33" borderId="14" xfId="0" applyNumberFormat="1" applyFont="1" applyFill="1" applyBorder="1" applyAlignment="1">
      <alignment horizontal="right" vertical="center"/>
    </xf>
    <xf numFmtId="178" fontId="5" fillId="0" borderId="15" xfId="0" applyNumberFormat="1" applyFont="1" applyBorder="1" applyAlignment="1">
      <alignment horizontal="right" vertical="center"/>
    </xf>
    <xf numFmtId="180" fontId="13" fillId="0" borderId="75" xfId="0" applyNumberFormat="1" applyFont="1" applyFill="1" applyBorder="1" applyAlignment="1">
      <alignment vertical="center" shrinkToFit="1"/>
    </xf>
    <xf numFmtId="38" fontId="14" fillId="0" borderId="76" xfId="0" applyNumberFormat="1" applyFont="1" applyBorder="1" applyAlignment="1">
      <alignment vertical="center" shrinkToFit="1"/>
    </xf>
    <xf numFmtId="0" fontId="5" fillId="0" borderId="20" xfId="0" applyFont="1" applyBorder="1" applyAlignment="1">
      <alignment vertical="center"/>
    </xf>
    <xf numFmtId="0" fontId="8" fillId="0" borderId="20" xfId="0" applyFont="1" applyBorder="1" applyAlignment="1">
      <alignment vertical="center" wrapText="1"/>
    </xf>
    <xf numFmtId="0" fontId="5" fillId="0" borderId="41" xfId="0" applyFont="1" applyBorder="1" applyAlignment="1">
      <alignment vertical="center"/>
    </xf>
    <xf numFmtId="0" fontId="5" fillId="0" borderId="77" xfId="0" applyFont="1" applyBorder="1" applyAlignment="1">
      <alignment vertical="center"/>
    </xf>
    <xf numFmtId="176" fontId="6" fillId="36" borderId="32" xfId="0" applyNumberFormat="1" applyFont="1" applyFill="1" applyBorder="1" applyAlignment="1">
      <alignment horizontal="right" vertical="center"/>
    </xf>
    <xf numFmtId="0" fontId="5" fillId="33" borderId="78" xfId="0" applyFont="1" applyFill="1" applyBorder="1" applyAlignment="1">
      <alignment horizontal="center" vertical="center"/>
    </xf>
    <xf numFmtId="176" fontId="5" fillId="37" borderId="18" xfId="0" applyNumberFormat="1" applyFont="1" applyFill="1" applyBorder="1" applyAlignment="1">
      <alignment horizontal="right" vertical="center"/>
    </xf>
    <xf numFmtId="178" fontId="5" fillId="34" borderId="31" xfId="0" applyNumberFormat="1" applyFont="1" applyFill="1" applyBorder="1" applyAlignment="1">
      <alignment horizontal="right" vertical="center"/>
    </xf>
    <xf numFmtId="178" fontId="5" fillId="0" borderId="31" xfId="0" applyNumberFormat="1" applyFont="1" applyBorder="1" applyAlignment="1">
      <alignment horizontal="right" vertical="center"/>
    </xf>
    <xf numFmtId="178" fontId="5" fillId="36" borderId="31" xfId="0" applyNumberFormat="1" applyFont="1" applyFill="1" applyBorder="1" applyAlignment="1">
      <alignment horizontal="right" vertical="center"/>
    </xf>
    <xf numFmtId="178" fontId="5" fillId="33" borderId="31" xfId="0" applyNumberFormat="1" applyFont="1" applyFill="1" applyBorder="1" applyAlignment="1">
      <alignment horizontal="right" vertical="center"/>
    </xf>
    <xf numFmtId="178" fontId="5" fillId="0" borderId="79" xfId="0" applyNumberFormat="1" applyFont="1" applyBorder="1" applyAlignment="1">
      <alignment horizontal="right" vertical="center"/>
    </xf>
    <xf numFmtId="178" fontId="5" fillId="34" borderId="65" xfId="0" applyNumberFormat="1" applyFont="1" applyFill="1" applyBorder="1" applyAlignment="1">
      <alignment vertical="center"/>
    </xf>
    <xf numFmtId="178" fontId="5" fillId="34" borderId="31" xfId="0" applyNumberFormat="1" applyFont="1" applyFill="1" applyBorder="1" applyAlignment="1">
      <alignment vertical="center"/>
    </xf>
    <xf numFmtId="178" fontId="5" fillId="34" borderId="80" xfId="0" applyNumberFormat="1" applyFont="1" applyFill="1" applyBorder="1" applyAlignment="1">
      <alignment vertical="center"/>
    </xf>
    <xf numFmtId="178" fontId="5" fillId="35" borderId="81" xfId="0" applyNumberFormat="1" applyFont="1" applyFill="1" applyBorder="1" applyAlignment="1">
      <alignment vertical="center"/>
    </xf>
    <xf numFmtId="178" fontId="5" fillId="35" borderId="82" xfId="0" applyNumberFormat="1" applyFont="1" applyFill="1" applyBorder="1" applyAlignment="1">
      <alignment vertical="center"/>
    </xf>
    <xf numFmtId="178" fontId="5" fillId="35" borderId="83" xfId="0" applyNumberFormat="1" applyFont="1" applyFill="1" applyBorder="1" applyAlignment="1">
      <alignment vertical="center"/>
    </xf>
    <xf numFmtId="178" fontId="5" fillId="35" borderId="14" xfId="0" applyNumberFormat="1" applyFont="1" applyFill="1" applyBorder="1" applyAlignment="1">
      <alignment vertical="center"/>
    </xf>
    <xf numFmtId="176" fontId="5" fillId="0" borderId="0" xfId="0" applyNumberFormat="1" applyFont="1" applyFill="1" applyAlignment="1">
      <alignment/>
    </xf>
    <xf numFmtId="178" fontId="5" fillId="34" borderId="82" xfId="0" applyNumberFormat="1" applyFont="1" applyFill="1" applyBorder="1" applyAlignment="1">
      <alignment vertical="center"/>
    </xf>
    <xf numFmtId="178" fontId="6" fillId="34" borderId="84" xfId="0" applyNumberFormat="1" applyFont="1" applyFill="1" applyBorder="1" applyAlignment="1">
      <alignment vertical="center"/>
    </xf>
    <xf numFmtId="178" fontId="6" fillId="34" borderId="85" xfId="0" applyNumberFormat="1" applyFont="1" applyFill="1" applyBorder="1" applyAlignment="1">
      <alignment vertical="center"/>
    </xf>
    <xf numFmtId="178" fontId="5" fillId="0" borderId="86" xfId="0" applyNumberFormat="1" applyFont="1" applyBorder="1" applyAlignment="1">
      <alignment vertical="center"/>
    </xf>
    <xf numFmtId="178" fontId="5" fillId="36" borderId="32" xfId="0" applyNumberFormat="1" applyFont="1" applyFill="1" applyBorder="1" applyAlignment="1">
      <alignment vertical="center"/>
    </xf>
    <xf numFmtId="0" fontId="3" fillId="0" borderId="38" xfId="0" applyFont="1" applyBorder="1" applyAlignment="1">
      <alignment horizontal="center" vertical="center" textRotation="255"/>
    </xf>
    <xf numFmtId="178" fontId="5" fillId="0" borderId="87" xfId="0" applyNumberFormat="1" applyFont="1" applyBorder="1" applyAlignment="1">
      <alignment vertical="center"/>
    </xf>
    <xf numFmtId="178" fontId="5" fillId="37" borderId="82" xfId="0" applyNumberFormat="1" applyFont="1" applyFill="1" applyBorder="1" applyAlignment="1">
      <alignment horizontal="right" vertical="center"/>
    </xf>
    <xf numFmtId="178" fontId="5" fillId="34" borderId="32" xfId="0" applyNumberFormat="1" applyFont="1" applyFill="1" applyBorder="1" applyAlignment="1">
      <alignment vertical="center"/>
    </xf>
    <xf numFmtId="0" fontId="5" fillId="33" borderId="88" xfId="0" applyFont="1" applyFill="1" applyBorder="1" applyAlignment="1">
      <alignment horizontal="center" vertical="center"/>
    </xf>
    <xf numFmtId="0" fontId="4" fillId="0" borderId="89" xfId="0" applyFont="1" applyBorder="1" applyAlignment="1">
      <alignment horizontal="left" vertical="center" wrapText="1" indent="1" shrinkToFit="1"/>
    </xf>
    <xf numFmtId="0" fontId="5" fillId="0" borderId="13" xfId="0" applyFont="1" applyBorder="1" applyAlignment="1">
      <alignment horizontal="left" vertical="center" wrapText="1" indent="1"/>
    </xf>
    <xf numFmtId="0" fontId="5" fillId="33" borderId="36"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18" fillId="0" borderId="0" xfId="0" applyFont="1" applyAlignment="1">
      <alignment/>
    </xf>
    <xf numFmtId="176" fontId="6" fillId="37" borderId="84" xfId="0" applyNumberFormat="1" applyFont="1" applyFill="1" applyBorder="1" applyAlignment="1">
      <alignment horizontal="right" vertical="center"/>
    </xf>
    <xf numFmtId="176" fontId="6" fillId="34" borderId="32" xfId="0" applyNumberFormat="1" applyFont="1" applyFill="1" applyBorder="1" applyAlignment="1">
      <alignment horizontal="right" vertical="center"/>
    </xf>
    <xf numFmtId="176" fontId="5" fillId="37" borderId="82" xfId="0" applyNumberFormat="1" applyFont="1" applyFill="1" applyBorder="1" applyAlignment="1">
      <alignment horizontal="right" vertical="center"/>
    </xf>
    <xf numFmtId="177" fontId="5" fillId="37" borderId="18" xfId="49" applyNumberFormat="1" applyFont="1" applyFill="1" applyBorder="1" applyAlignment="1">
      <alignment vertical="center"/>
    </xf>
    <xf numFmtId="177" fontId="5" fillId="37" borderId="27" xfId="49" applyNumberFormat="1" applyFont="1" applyFill="1" applyBorder="1" applyAlignment="1">
      <alignment vertical="center"/>
    </xf>
    <xf numFmtId="177" fontId="5" fillId="37" borderId="82" xfId="49" applyNumberFormat="1" applyFont="1" applyFill="1" applyBorder="1" applyAlignment="1">
      <alignment vertical="center"/>
    </xf>
    <xf numFmtId="177" fontId="6" fillId="37" borderId="83" xfId="49" applyNumberFormat="1" applyFont="1" applyFill="1" applyBorder="1" applyAlignment="1">
      <alignment vertical="center"/>
    </xf>
    <xf numFmtId="0" fontId="20" fillId="0" borderId="0" xfId="0" applyFont="1" applyAlignment="1">
      <alignment vertical="center"/>
    </xf>
    <xf numFmtId="177" fontId="6" fillId="37" borderId="20" xfId="49" applyNumberFormat="1" applyFont="1" applyFill="1" applyBorder="1" applyAlignment="1">
      <alignment vertical="center"/>
    </xf>
    <xf numFmtId="177" fontId="6" fillId="37" borderId="84" xfId="49" applyNumberFormat="1" applyFont="1" applyFill="1" applyBorder="1" applyAlignment="1">
      <alignment vertical="center"/>
    </xf>
    <xf numFmtId="177" fontId="5" fillId="37" borderId="16" xfId="49" applyNumberFormat="1" applyFont="1" applyFill="1" applyBorder="1" applyAlignment="1">
      <alignment vertical="center"/>
    </xf>
    <xf numFmtId="177" fontId="5" fillId="37" borderId="90" xfId="49" applyNumberFormat="1" applyFont="1" applyFill="1" applyBorder="1" applyAlignment="1">
      <alignment vertical="center"/>
    </xf>
    <xf numFmtId="177" fontId="6" fillId="37" borderId="43" xfId="49" applyNumberFormat="1" applyFont="1" applyFill="1" applyBorder="1" applyAlignment="1">
      <alignment vertical="center"/>
    </xf>
    <xf numFmtId="178" fontId="5" fillId="37" borderId="18" xfId="0" applyNumberFormat="1" applyFont="1" applyFill="1" applyBorder="1" applyAlignment="1">
      <alignment horizontal="right" vertical="center"/>
    </xf>
    <xf numFmtId="178" fontId="6" fillId="37" borderId="84" xfId="0" applyNumberFormat="1" applyFont="1" applyFill="1" applyBorder="1" applyAlignment="1">
      <alignment horizontal="right" vertical="center"/>
    </xf>
    <xf numFmtId="178" fontId="6" fillId="34" borderId="32" xfId="0" applyNumberFormat="1" applyFont="1" applyFill="1" applyBorder="1" applyAlignment="1">
      <alignment horizontal="right" vertical="center"/>
    </xf>
    <xf numFmtId="178" fontId="6" fillId="0" borderId="32" xfId="0" applyNumberFormat="1" applyFont="1" applyBorder="1" applyAlignment="1">
      <alignment horizontal="right" vertical="center"/>
    </xf>
    <xf numFmtId="178" fontId="6" fillId="36" borderId="32" xfId="0" applyNumberFormat="1" applyFont="1" applyFill="1" applyBorder="1" applyAlignment="1">
      <alignment horizontal="right" vertical="center"/>
    </xf>
    <xf numFmtId="178" fontId="6" fillId="33" borderId="32" xfId="0" applyNumberFormat="1" applyFont="1" applyFill="1" applyBorder="1" applyAlignment="1">
      <alignment horizontal="right" vertical="center"/>
    </xf>
    <xf numFmtId="178" fontId="6" fillId="0" borderId="74" xfId="0" applyNumberFormat="1" applyFont="1" applyBorder="1" applyAlignment="1">
      <alignment horizontal="right" vertical="center"/>
    </xf>
    <xf numFmtId="177" fontId="5" fillId="37" borderId="28" xfId="49" applyNumberFormat="1" applyFont="1" applyFill="1" applyBorder="1" applyAlignment="1">
      <alignment vertical="center"/>
    </xf>
    <xf numFmtId="177" fontId="6" fillId="37" borderId="41" xfId="49" applyNumberFormat="1" applyFont="1" applyFill="1" applyBorder="1" applyAlignment="1">
      <alignment vertical="center"/>
    </xf>
    <xf numFmtId="177" fontId="5" fillId="37" borderId="36" xfId="49" applyNumberFormat="1" applyFont="1" applyFill="1" applyBorder="1" applyAlignment="1">
      <alignment vertical="center"/>
    </xf>
    <xf numFmtId="178" fontId="5" fillId="0" borderId="91" xfId="0" applyNumberFormat="1" applyFont="1" applyBorder="1" applyAlignment="1">
      <alignment vertical="center"/>
    </xf>
    <xf numFmtId="178" fontId="5" fillId="0" borderId="92" xfId="0" applyNumberFormat="1" applyFont="1" applyBorder="1" applyAlignment="1">
      <alignment vertical="center"/>
    </xf>
    <xf numFmtId="178" fontId="5" fillId="0" borderId="93" xfId="0" applyNumberFormat="1" applyFont="1" applyBorder="1" applyAlignment="1">
      <alignment vertical="center"/>
    </xf>
    <xf numFmtId="178" fontId="5" fillId="35" borderId="93" xfId="0" applyNumberFormat="1" applyFont="1" applyFill="1" applyBorder="1" applyAlignment="1">
      <alignment vertical="center"/>
    </xf>
    <xf numFmtId="178" fontId="5" fillId="35" borderId="19" xfId="0" applyNumberFormat="1" applyFont="1" applyFill="1" applyBorder="1" applyAlignment="1">
      <alignment vertical="center"/>
    </xf>
    <xf numFmtId="178" fontId="5" fillId="35" borderId="86" xfId="0" applyNumberFormat="1" applyFont="1" applyFill="1" applyBorder="1" applyAlignment="1">
      <alignment vertical="center"/>
    </xf>
    <xf numFmtId="178" fontId="5" fillId="35" borderId="94" xfId="0" applyNumberFormat="1" applyFont="1" applyFill="1" applyBorder="1" applyAlignment="1">
      <alignment vertical="center"/>
    </xf>
    <xf numFmtId="178" fontId="5" fillId="35" borderId="95" xfId="0" applyNumberFormat="1" applyFont="1" applyFill="1" applyBorder="1" applyAlignment="1">
      <alignment vertical="center"/>
    </xf>
    <xf numFmtId="178" fontId="5" fillId="0" borderId="96" xfId="0" applyNumberFormat="1" applyFont="1" applyBorder="1" applyAlignment="1">
      <alignment vertical="center"/>
    </xf>
    <xf numFmtId="178" fontId="5" fillId="0" borderId="97" xfId="0" applyNumberFormat="1" applyFont="1" applyBorder="1" applyAlignment="1">
      <alignment vertical="center"/>
    </xf>
    <xf numFmtId="178" fontId="5" fillId="0" borderId="29" xfId="0" applyNumberFormat="1" applyFont="1" applyFill="1" applyBorder="1" applyAlignment="1">
      <alignment vertical="center"/>
    </xf>
    <xf numFmtId="178" fontId="5" fillId="0" borderId="98" xfId="0" applyNumberFormat="1" applyFont="1" applyBorder="1" applyAlignment="1">
      <alignment vertical="center"/>
    </xf>
    <xf numFmtId="178" fontId="5" fillId="0" borderId="99" xfId="0" applyNumberFormat="1" applyFont="1" applyBorder="1" applyAlignment="1">
      <alignment vertical="center"/>
    </xf>
    <xf numFmtId="178" fontId="5" fillId="0" borderId="100" xfId="0" applyNumberFormat="1" applyFont="1" applyBorder="1" applyAlignment="1">
      <alignment vertical="center"/>
    </xf>
    <xf numFmtId="178" fontId="5" fillId="0" borderId="101" xfId="0" applyNumberFormat="1" applyFont="1" applyBorder="1" applyAlignment="1">
      <alignment vertical="center"/>
    </xf>
    <xf numFmtId="178" fontId="5" fillId="0" borderId="34" xfId="0" applyNumberFormat="1" applyFont="1" applyBorder="1" applyAlignment="1">
      <alignment vertical="center"/>
    </xf>
    <xf numFmtId="178" fontId="5" fillId="0" borderId="102" xfId="0" applyNumberFormat="1" applyFont="1" applyBorder="1" applyAlignment="1">
      <alignment vertical="center"/>
    </xf>
    <xf numFmtId="178" fontId="5" fillId="37" borderId="14" xfId="0" applyNumberFormat="1" applyFont="1" applyFill="1" applyBorder="1" applyAlignment="1">
      <alignment vertical="center"/>
    </xf>
    <xf numFmtId="178" fontId="5" fillId="37" borderId="19" xfId="0" applyNumberFormat="1" applyFont="1" applyFill="1" applyBorder="1" applyAlignment="1">
      <alignment vertical="center"/>
    </xf>
    <xf numFmtId="178" fontId="5" fillId="37" borderId="20" xfId="0" applyNumberFormat="1" applyFont="1" applyFill="1" applyBorder="1" applyAlignment="1">
      <alignment vertical="center"/>
    </xf>
    <xf numFmtId="178" fontId="5" fillId="34" borderId="19" xfId="0" applyNumberFormat="1" applyFont="1" applyFill="1" applyBorder="1" applyAlignment="1">
      <alignment vertical="center"/>
    </xf>
    <xf numFmtId="178" fontId="5" fillId="34" borderId="20" xfId="0" applyNumberFormat="1" applyFont="1" applyFill="1" applyBorder="1" applyAlignment="1">
      <alignment vertical="center"/>
    </xf>
    <xf numFmtId="178" fontId="5" fillId="36" borderId="20" xfId="0" applyNumberFormat="1" applyFont="1" applyFill="1" applyBorder="1" applyAlignment="1">
      <alignment vertical="center"/>
    </xf>
    <xf numFmtId="178" fontId="5" fillId="34" borderId="29" xfId="0" applyNumberFormat="1" applyFont="1" applyFill="1" applyBorder="1" applyAlignment="1">
      <alignment vertical="center"/>
    </xf>
    <xf numFmtId="178" fontId="5" fillId="36" borderId="29" xfId="0" applyNumberFormat="1" applyFont="1" applyFill="1" applyBorder="1" applyAlignment="1">
      <alignment vertical="center"/>
    </xf>
    <xf numFmtId="178" fontId="5" fillId="33" borderId="90" xfId="0" applyNumberFormat="1" applyFont="1" applyFill="1" applyBorder="1" applyAlignment="1">
      <alignment vertical="center"/>
    </xf>
    <xf numFmtId="178" fontId="5" fillId="0" borderId="82" xfId="0" applyNumberFormat="1" applyFont="1" applyBorder="1" applyAlignment="1">
      <alignment vertical="center"/>
    </xf>
    <xf numFmtId="178" fontId="5" fillId="0" borderId="83" xfId="0" applyNumberFormat="1" applyFont="1" applyBorder="1" applyAlignment="1">
      <alignment vertical="center"/>
    </xf>
    <xf numFmtId="178" fontId="5" fillId="0" borderId="59" xfId="0" applyNumberFormat="1" applyFont="1" applyBorder="1" applyAlignment="1">
      <alignment vertical="center"/>
    </xf>
    <xf numFmtId="178" fontId="5" fillId="0" borderId="103" xfId="0" applyNumberFormat="1" applyFont="1" applyBorder="1" applyAlignment="1">
      <alignment vertical="center"/>
    </xf>
    <xf numFmtId="178" fontId="5" fillId="0" borderId="59" xfId="0" applyNumberFormat="1" applyFont="1" applyFill="1" applyBorder="1" applyAlignment="1">
      <alignment vertical="center"/>
    </xf>
    <xf numFmtId="178" fontId="5" fillId="0" borderId="103" xfId="0" applyNumberFormat="1" applyFont="1" applyFill="1" applyBorder="1" applyAlignment="1">
      <alignment vertical="center"/>
    </xf>
    <xf numFmtId="178" fontId="5" fillId="0" borderId="82" xfId="0" applyNumberFormat="1" applyFont="1" applyFill="1" applyBorder="1" applyAlignment="1">
      <alignment vertical="center"/>
    </xf>
    <xf numFmtId="178" fontId="5" fillId="0" borderId="83" xfId="0" applyNumberFormat="1" applyFont="1" applyFill="1" applyBorder="1" applyAlignment="1">
      <alignment vertical="center"/>
    </xf>
    <xf numFmtId="178" fontId="5" fillId="0" borderId="36" xfId="0" applyNumberFormat="1" applyFont="1" applyFill="1" applyBorder="1" applyAlignment="1">
      <alignment vertical="center"/>
    </xf>
    <xf numFmtId="178" fontId="5" fillId="0" borderId="37" xfId="0" applyNumberFormat="1" applyFont="1" applyFill="1" applyBorder="1" applyAlignment="1">
      <alignment vertical="center"/>
    </xf>
    <xf numFmtId="178" fontId="5" fillId="0" borderId="104" xfId="0" applyNumberFormat="1" applyFont="1" applyBorder="1" applyAlignment="1">
      <alignment vertical="center"/>
    </xf>
    <xf numFmtId="178" fontId="5" fillId="0" borderId="105" xfId="0" applyNumberFormat="1" applyFont="1" applyBorder="1" applyAlignment="1">
      <alignment vertical="center"/>
    </xf>
    <xf numFmtId="178" fontId="5" fillId="0" borderId="106" xfId="0" applyNumberFormat="1" applyFont="1" applyBorder="1" applyAlignment="1">
      <alignment vertical="center"/>
    </xf>
    <xf numFmtId="178" fontId="5" fillId="0" borderId="107" xfId="0" applyNumberFormat="1" applyFont="1" applyBorder="1" applyAlignment="1">
      <alignment vertical="center"/>
    </xf>
    <xf numFmtId="180" fontId="13" fillId="33" borderId="75" xfId="0" applyNumberFormat="1" applyFont="1" applyFill="1" applyBorder="1" applyAlignment="1">
      <alignment vertical="center" shrinkToFit="1"/>
    </xf>
    <xf numFmtId="181" fontId="13" fillId="0" borderId="108" xfId="0" applyNumberFormat="1" applyFont="1" applyFill="1" applyBorder="1" applyAlignment="1">
      <alignment horizontal="right" vertical="center" shrinkToFit="1"/>
    </xf>
    <xf numFmtId="38" fontId="13" fillId="0" borderId="75" xfId="0" applyNumberFormat="1" applyFont="1" applyBorder="1" applyAlignment="1">
      <alignment vertical="center" shrinkToFit="1"/>
    </xf>
    <xf numFmtId="0" fontId="12" fillId="0" borderId="54" xfId="0" applyFont="1" applyFill="1" applyBorder="1" applyAlignment="1">
      <alignment horizontal="centerContinuous" vertical="center" wrapText="1"/>
    </xf>
    <xf numFmtId="0" fontId="12" fillId="0" borderId="55" xfId="0" applyFont="1" applyFill="1" applyBorder="1" applyAlignment="1">
      <alignment horizontal="centerContinuous" vertical="center" wrapText="1"/>
    </xf>
    <xf numFmtId="176" fontId="5" fillId="0" borderId="0" xfId="0" applyNumberFormat="1" applyFont="1" applyFill="1" applyAlignment="1">
      <alignment vertical="center"/>
    </xf>
    <xf numFmtId="0" fontId="12" fillId="0" borderId="0" xfId="0" applyFont="1" applyBorder="1" applyAlignment="1">
      <alignment/>
    </xf>
    <xf numFmtId="38" fontId="5" fillId="0" borderId="51" xfId="49" applyFont="1" applyFill="1" applyBorder="1" applyAlignment="1">
      <alignment horizontal="right" vertical="center"/>
    </xf>
    <xf numFmtId="181" fontId="13" fillId="33" borderId="109" xfId="0" applyNumberFormat="1" applyFont="1" applyFill="1" applyBorder="1" applyAlignment="1">
      <alignment horizontal="right" vertical="center" shrinkToFit="1"/>
    </xf>
    <xf numFmtId="187" fontId="5" fillId="37" borderId="18" xfId="49" applyNumberFormat="1" applyFont="1" applyFill="1" applyBorder="1" applyAlignment="1">
      <alignment vertical="center"/>
    </xf>
    <xf numFmtId="3" fontId="5" fillId="0" borderId="0" xfId="0" applyNumberFormat="1" applyFont="1" applyAlignment="1">
      <alignment vertical="center"/>
    </xf>
    <xf numFmtId="178" fontId="6" fillId="34" borderId="110" xfId="0" applyNumberFormat="1" applyFont="1" applyFill="1" applyBorder="1" applyAlignment="1">
      <alignment vertical="center"/>
    </xf>
    <xf numFmtId="178" fontId="6" fillId="0" borderId="20" xfId="0" applyNumberFormat="1" applyFont="1" applyBorder="1" applyAlignment="1">
      <alignment vertical="center"/>
    </xf>
    <xf numFmtId="178" fontId="5" fillId="0" borderId="14" xfId="0" applyNumberFormat="1" applyFont="1" applyBorder="1" applyAlignment="1">
      <alignment vertical="center" shrinkToFit="1"/>
    </xf>
    <xf numFmtId="0" fontId="5" fillId="0" borderId="0" xfId="0" applyNumberFormat="1" applyFont="1" applyAlignment="1">
      <alignment vertical="center"/>
    </xf>
    <xf numFmtId="38" fontId="0" fillId="0" borderId="0" xfId="0" applyNumberFormat="1" applyAlignment="1">
      <alignment/>
    </xf>
    <xf numFmtId="178" fontId="0" fillId="0" borderId="0" xfId="0" applyNumberFormat="1" applyAlignment="1">
      <alignment/>
    </xf>
    <xf numFmtId="179" fontId="0" fillId="0" borderId="111" xfId="0" applyNumberFormat="1" applyBorder="1" applyAlignment="1">
      <alignment horizontal="center" vertical="center" shrinkToFit="1"/>
    </xf>
    <xf numFmtId="179" fontId="0" fillId="0" borderId="112" xfId="0" applyNumberFormat="1" applyBorder="1" applyAlignment="1">
      <alignment horizontal="center" vertical="center" shrinkToFit="1"/>
    </xf>
    <xf numFmtId="179" fontId="0" fillId="0" borderId="75" xfId="0" applyNumberFormat="1" applyBorder="1" applyAlignment="1">
      <alignment horizontal="center" vertical="center" shrinkToFit="1"/>
    </xf>
    <xf numFmtId="179" fontId="0" fillId="0" borderId="113" xfId="0" applyNumberFormat="1" applyBorder="1" applyAlignment="1">
      <alignment horizontal="center" vertical="center" shrinkToFit="1"/>
    </xf>
    <xf numFmtId="179" fontId="0" fillId="0" borderId="114" xfId="0" applyNumberFormat="1" applyBorder="1" applyAlignment="1">
      <alignment horizontal="center" vertical="center" shrinkToFit="1"/>
    </xf>
    <xf numFmtId="179" fontId="0" fillId="0" borderId="115" xfId="0" applyNumberFormat="1" applyBorder="1" applyAlignment="1">
      <alignment horizontal="center" vertical="center" shrinkToFit="1"/>
    </xf>
    <xf numFmtId="179" fontId="0" fillId="0" borderId="116" xfId="0" applyNumberFormat="1" applyBorder="1" applyAlignment="1">
      <alignment horizontal="center" vertical="center" shrinkToFit="1"/>
    </xf>
    <xf numFmtId="179" fontId="0" fillId="0" borderId="108" xfId="0" applyNumberFormat="1" applyBorder="1" applyAlignment="1">
      <alignment horizontal="center" vertical="center" shrinkToFit="1"/>
    </xf>
    <xf numFmtId="38" fontId="9" fillId="33" borderId="117" xfId="0" applyNumberFormat="1" applyFont="1" applyFill="1" applyBorder="1" applyAlignment="1">
      <alignment vertical="center" shrinkToFit="1"/>
    </xf>
    <xf numFmtId="38" fontId="9" fillId="33" borderId="112" xfId="0" applyNumberFormat="1" applyFont="1" applyFill="1" applyBorder="1" applyAlignment="1">
      <alignment vertical="center" shrinkToFit="1"/>
    </xf>
    <xf numFmtId="181" fontId="13" fillId="33" borderId="113" xfId="0" applyNumberFormat="1" applyFont="1" applyFill="1" applyBorder="1" applyAlignment="1">
      <alignment horizontal="right" vertical="center" shrinkToFit="1"/>
    </xf>
    <xf numFmtId="180" fontId="9" fillId="33" borderId="75" xfId="0" applyNumberFormat="1" applyFont="1" applyFill="1" applyBorder="1" applyAlignment="1">
      <alignment vertical="center" shrinkToFit="1"/>
    </xf>
    <xf numFmtId="181" fontId="13" fillId="33" borderId="108" xfId="0" applyNumberFormat="1" applyFont="1" applyFill="1" applyBorder="1" applyAlignment="1">
      <alignment horizontal="right" vertical="center" shrinkToFit="1"/>
    </xf>
    <xf numFmtId="38" fontId="9" fillId="0" borderId="117" xfId="0" applyNumberFormat="1" applyFont="1" applyBorder="1" applyAlignment="1">
      <alignment vertical="center" shrinkToFit="1"/>
    </xf>
    <xf numFmtId="38" fontId="9" fillId="0" borderId="112" xfId="0" applyNumberFormat="1" applyFont="1" applyBorder="1" applyAlignment="1">
      <alignment vertical="center" shrinkToFit="1"/>
    </xf>
    <xf numFmtId="181" fontId="13" fillId="0" borderId="113" xfId="0" applyNumberFormat="1" applyFont="1" applyBorder="1" applyAlignment="1">
      <alignment horizontal="right" vertical="center" shrinkToFit="1"/>
    </xf>
    <xf numFmtId="181" fontId="13" fillId="0" borderId="113" xfId="0" applyNumberFormat="1" applyFont="1" applyFill="1" applyBorder="1" applyAlignment="1">
      <alignment horizontal="right" vertical="center" shrinkToFit="1"/>
    </xf>
    <xf numFmtId="38" fontId="9" fillId="0" borderId="75" xfId="0" applyNumberFormat="1" applyFont="1" applyBorder="1" applyAlignment="1">
      <alignment vertical="center" shrinkToFit="1"/>
    </xf>
    <xf numFmtId="182" fontId="13" fillId="0" borderId="113" xfId="0" applyNumberFormat="1" applyFont="1" applyBorder="1" applyAlignment="1">
      <alignment horizontal="right" vertical="center" shrinkToFit="1"/>
    </xf>
    <xf numFmtId="180" fontId="9" fillId="0" borderId="75" xfId="0" applyNumberFormat="1" applyFont="1" applyFill="1" applyBorder="1" applyAlignment="1">
      <alignment vertical="center" shrinkToFit="1"/>
    </xf>
    <xf numFmtId="38" fontId="9" fillId="36" borderId="117" xfId="0" applyNumberFormat="1" applyFont="1" applyFill="1" applyBorder="1" applyAlignment="1">
      <alignment vertical="center" shrinkToFit="1"/>
    </xf>
    <xf numFmtId="38" fontId="9" fillId="36" borderId="112" xfId="0" applyNumberFormat="1" applyFont="1" applyFill="1" applyBorder="1" applyAlignment="1">
      <alignment vertical="center" shrinkToFit="1"/>
    </xf>
    <xf numFmtId="38" fontId="9" fillId="34" borderId="117" xfId="0" applyNumberFormat="1" applyFont="1" applyFill="1" applyBorder="1" applyAlignment="1">
      <alignment horizontal="right" vertical="center" shrinkToFit="1"/>
    </xf>
    <xf numFmtId="38" fontId="9" fillId="34" borderId="112" xfId="0" applyNumberFormat="1" applyFont="1" applyFill="1" applyBorder="1" applyAlignment="1">
      <alignment horizontal="right" vertical="center" shrinkToFit="1"/>
    </xf>
    <xf numFmtId="38" fontId="9" fillId="34" borderId="117" xfId="0" applyNumberFormat="1" applyFont="1" applyFill="1" applyBorder="1" applyAlignment="1">
      <alignment vertical="center" shrinkToFit="1"/>
    </xf>
    <xf numFmtId="38" fontId="9" fillId="34" borderId="112" xfId="0" applyNumberFormat="1" applyFont="1" applyFill="1" applyBorder="1" applyAlignment="1">
      <alignment vertical="center" shrinkToFit="1"/>
    </xf>
    <xf numFmtId="180" fontId="13" fillId="0" borderId="75" xfId="0" applyNumberFormat="1" applyFont="1" applyBorder="1" applyAlignment="1">
      <alignment vertical="center" shrinkToFit="1"/>
    </xf>
    <xf numFmtId="38" fontId="9" fillId="0" borderId="117" xfId="0" applyNumberFormat="1" applyFont="1" applyFill="1" applyBorder="1" applyAlignment="1">
      <alignment vertical="center" shrinkToFit="1"/>
    </xf>
    <xf numFmtId="38" fontId="9" fillId="0" borderId="112" xfId="0" applyNumberFormat="1" applyFont="1" applyFill="1" applyBorder="1" applyAlignment="1">
      <alignment vertical="center" shrinkToFit="1"/>
    </xf>
    <xf numFmtId="38" fontId="0" fillId="0" borderId="118" xfId="0" applyNumberFormat="1" applyBorder="1" applyAlignment="1">
      <alignment vertical="center" shrinkToFit="1"/>
    </xf>
    <xf numFmtId="38" fontId="0" fillId="0" borderId="119" xfId="0" applyNumberFormat="1" applyBorder="1" applyAlignment="1">
      <alignment vertical="center" shrinkToFit="1"/>
    </xf>
    <xf numFmtId="182" fontId="14" fillId="0" borderId="120" xfId="0" applyNumberFormat="1" applyFont="1" applyBorder="1" applyAlignment="1">
      <alignment vertical="center" shrinkToFit="1"/>
    </xf>
    <xf numFmtId="182" fontId="14" fillId="0" borderId="121" xfId="0" applyNumberFormat="1" applyFont="1" applyBorder="1" applyAlignment="1">
      <alignment vertical="center" shrinkToFit="1"/>
    </xf>
    <xf numFmtId="179" fontId="0" fillId="0" borderId="109" xfId="0" applyNumberFormat="1" applyBorder="1" applyAlignment="1">
      <alignment horizontal="center" vertical="center" shrinkToFit="1"/>
    </xf>
    <xf numFmtId="38" fontId="9" fillId="33" borderId="112" xfId="0" applyNumberFormat="1" applyFont="1" applyFill="1" applyBorder="1" applyAlignment="1">
      <alignment horizontal="right" vertical="center" shrinkToFit="1"/>
    </xf>
    <xf numFmtId="181" fontId="13" fillId="0" borderId="109" xfId="0" applyNumberFormat="1" applyFont="1" applyFill="1" applyBorder="1" applyAlignment="1">
      <alignment horizontal="right" vertical="center" shrinkToFit="1"/>
    </xf>
    <xf numFmtId="38" fontId="9" fillId="0" borderId="75" xfId="0" applyNumberFormat="1" applyFont="1" applyFill="1" applyBorder="1" applyAlignment="1">
      <alignment vertical="center" shrinkToFit="1"/>
    </xf>
    <xf numFmtId="38" fontId="9" fillId="35" borderId="117" xfId="0" applyNumberFormat="1" applyFont="1" applyFill="1" applyBorder="1" applyAlignment="1">
      <alignment vertical="center" shrinkToFit="1"/>
    </xf>
    <xf numFmtId="38" fontId="9" fillId="35" borderId="112" xfId="0" applyNumberFormat="1" applyFont="1" applyFill="1" applyBorder="1" applyAlignment="1">
      <alignment horizontal="right" vertical="center" shrinkToFit="1"/>
    </xf>
    <xf numFmtId="180" fontId="13" fillId="35" borderId="75" xfId="0" applyNumberFormat="1" applyFont="1" applyFill="1" applyBorder="1" applyAlignment="1">
      <alignment vertical="center" shrinkToFit="1"/>
    </xf>
    <xf numFmtId="181" fontId="13" fillId="35" borderId="113" xfId="0" applyNumberFormat="1" applyFont="1" applyFill="1" applyBorder="1" applyAlignment="1">
      <alignment horizontal="right" vertical="center" shrinkToFit="1"/>
    </xf>
    <xf numFmtId="38" fontId="9" fillId="34" borderId="75" xfId="0" applyNumberFormat="1" applyFont="1" applyFill="1" applyBorder="1" applyAlignment="1">
      <alignment vertical="center" shrinkToFit="1"/>
    </xf>
    <xf numFmtId="38" fontId="9" fillId="33" borderId="75" xfId="0" applyNumberFormat="1" applyFont="1" applyFill="1" applyBorder="1" applyAlignment="1">
      <alignment vertical="center" shrinkToFit="1"/>
    </xf>
    <xf numFmtId="38" fontId="9" fillId="35" borderId="75" xfId="0" applyNumberFormat="1" applyFont="1" applyFill="1" applyBorder="1" applyAlignment="1">
      <alignment vertical="center" shrinkToFit="1"/>
    </xf>
    <xf numFmtId="38" fontId="13" fillId="0" borderId="75" xfId="0" applyNumberFormat="1" applyFont="1" applyFill="1" applyBorder="1" applyAlignment="1">
      <alignment vertical="center" shrinkToFit="1"/>
    </xf>
    <xf numFmtId="38" fontId="13" fillId="35" borderId="75" xfId="0" applyNumberFormat="1" applyFont="1" applyFill="1" applyBorder="1" applyAlignment="1">
      <alignment vertical="center" shrinkToFit="1"/>
    </xf>
    <xf numFmtId="182" fontId="13" fillId="35" borderId="113" xfId="0" applyNumberFormat="1" applyFont="1" applyFill="1" applyBorder="1" applyAlignment="1">
      <alignment horizontal="right" vertical="center" shrinkToFit="1"/>
    </xf>
    <xf numFmtId="38" fontId="0" fillId="0" borderId="76" xfId="0" applyNumberFormat="1" applyBorder="1" applyAlignment="1">
      <alignment vertical="center" shrinkToFit="1"/>
    </xf>
    <xf numFmtId="182" fontId="14" fillId="0" borderId="122" xfId="0" applyNumberFormat="1" applyFont="1" applyBorder="1" applyAlignment="1">
      <alignment vertical="center" shrinkToFit="1"/>
    </xf>
    <xf numFmtId="0" fontId="9" fillId="0" borderId="111" xfId="0" applyFont="1" applyBorder="1" applyAlignment="1">
      <alignment shrinkToFit="1"/>
    </xf>
    <xf numFmtId="0" fontId="9" fillId="0" borderId="0" xfId="0" applyFont="1" applyAlignment="1">
      <alignment shrinkToFit="1"/>
    </xf>
    <xf numFmtId="178" fontId="9" fillId="0" borderId="111" xfId="0" applyNumberFormat="1" applyFont="1" applyBorder="1" applyAlignment="1">
      <alignment shrinkToFit="1"/>
    </xf>
    <xf numFmtId="178" fontId="9" fillId="0" borderId="0" xfId="0" applyNumberFormat="1" applyFont="1" applyAlignment="1">
      <alignment shrinkToFit="1"/>
    </xf>
    <xf numFmtId="176" fontId="9" fillId="0" borderId="0" xfId="0" applyNumberFormat="1" applyFont="1" applyAlignment="1">
      <alignment shrinkToFit="1"/>
    </xf>
    <xf numFmtId="176" fontId="0" fillId="0" borderId="75" xfId="0" applyNumberFormat="1" applyBorder="1" applyAlignment="1">
      <alignment horizontal="center" vertical="center" shrinkToFit="1"/>
    </xf>
    <xf numFmtId="0" fontId="9" fillId="0" borderId="117" xfId="0" applyFont="1" applyBorder="1" applyAlignment="1">
      <alignment vertical="center" shrinkToFit="1"/>
    </xf>
    <xf numFmtId="0" fontId="9" fillId="0" borderId="0" xfId="0" applyFont="1" applyAlignment="1">
      <alignment vertical="center" shrinkToFit="1"/>
    </xf>
    <xf numFmtId="178" fontId="9" fillId="0" borderId="117" xfId="0" applyNumberFormat="1" applyFont="1" applyBorder="1" applyAlignment="1">
      <alignment vertical="center" shrinkToFit="1"/>
    </xf>
    <xf numFmtId="178" fontId="9" fillId="0" borderId="0" xfId="0" applyNumberFormat="1" applyFont="1" applyAlignment="1">
      <alignment vertical="center" shrinkToFit="1"/>
    </xf>
    <xf numFmtId="176" fontId="9" fillId="0" borderId="0" xfId="0" applyNumberFormat="1" applyFont="1" applyAlignment="1">
      <alignment vertical="center" shrinkToFit="1"/>
    </xf>
    <xf numFmtId="176" fontId="9" fillId="0" borderId="75" xfId="0" applyNumberFormat="1" applyFont="1" applyFill="1" applyBorder="1" applyAlignment="1">
      <alignment vertical="center" shrinkToFit="1"/>
    </xf>
    <xf numFmtId="3" fontId="9" fillId="34" borderId="117" xfId="0" applyNumberFormat="1" applyFont="1" applyFill="1" applyBorder="1" applyAlignment="1">
      <alignment vertical="center" shrinkToFit="1"/>
    </xf>
    <xf numFmtId="3" fontId="9" fillId="34" borderId="0" xfId="0" applyNumberFormat="1" applyFont="1" applyFill="1" applyAlignment="1">
      <alignment vertical="center" shrinkToFit="1"/>
    </xf>
    <xf numFmtId="3" fontId="9" fillId="34" borderId="75" xfId="0" applyNumberFormat="1" applyFont="1" applyFill="1" applyBorder="1" applyAlignment="1">
      <alignment vertical="center" shrinkToFit="1"/>
    </xf>
    <xf numFmtId="3" fontId="9" fillId="33" borderId="117" xfId="0" applyNumberFormat="1" applyFont="1" applyFill="1" applyBorder="1" applyAlignment="1">
      <alignment vertical="center" shrinkToFit="1"/>
    </xf>
    <xf numFmtId="3" fontId="9" fillId="33" borderId="0" xfId="0" applyNumberFormat="1" applyFont="1" applyFill="1" applyAlignment="1">
      <alignment vertical="center" shrinkToFit="1"/>
    </xf>
    <xf numFmtId="0" fontId="9" fillId="0" borderId="118" xfId="0" applyFont="1" applyBorder="1" applyAlignment="1">
      <alignment vertical="center" shrinkToFit="1"/>
    </xf>
    <xf numFmtId="0" fontId="9" fillId="0" borderId="51" xfId="0" applyFont="1" applyBorder="1" applyAlignment="1">
      <alignment vertical="center" shrinkToFit="1"/>
    </xf>
    <xf numFmtId="178" fontId="9" fillId="0" borderId="118" xfId="0" applyNumberFormat="1" applyFont="1" applyBorder="1" applyAlignment="1">
      <alignment vertical="center" shrinkToFit="1"/>
    </xf>
    <xf numFmtId="178" fontId="9" fillId="0" borderId="51" xfId="0" applyNumberFormat="1" applyFont="1" applyBorder="1" applyAlignment="1">
      <alignment vertical="center" shrinkToFit="1"/>
    </xf>
    <xf numFmtId="176" fontId="9" fillId="0" borderId="119" xfId="0" applyNumberFormat="1" applyFont="1" applyBorder="1" applyAlignment="1">
      <alignment vertical="center" shrinkToFit="1"/>
    </xf>
    <xf numFmtId="178" fontId="9" fillId="0" borderId="119" xfId="0" applyNumberFormat="1" applyFont="1" applyBorder="1" applyAlignment="1">
      <alignment vertical="center" shrinkToFit="1"/>
    </xf>
    <xf numFmtId="176" fontId="14" fillId="0" borderId="76" xfId="0" applyNumberFormat="1" applyFont="1" applyBorder="1" applyAlignment="1">
      <alignment vertical="center" shrinkToFit="1"/>
    </xf>
    <xf numFmtId="176" fontId="9" fillId="0" borderId="111" xfId="0" applyNumberFormat="1" applyFont="1" applyBorder="1" applyAlignment="1">
      <alignment shrinkToFit="1"/>
    </xf>
    <xf numFmtId="176" fontId="9" fillId="0" borderId="0" xfId="0" applyNumberFormat="1" applyFont="1" applyAlignment="1">
      <alignment horizontal="right" shrinkToFit="1"/>
    </xf>
    <xf numFmtId="178" fontId="9" fillId="0" borderId="123" xfId="0" applyNumberFormat="1" applyFont="1" applyBorder="1" applyAlignment="1">
      <alignment shrinkToFit="1"/>
    </xf>
    <xf numFmtId="180" fontId="13" fillId="33" borderId="75" xfId="0" applyNumberFormat="1" applyFont="1" applyFill="1" applyBorder="1" applyAlignment="1">
      <alignment horizontal="right" vertical="center" shrinkToFit="1"/>
    </xf>
    <xf numFmtId="38" fontId="9" fillId="33" borderId="124" xfId="0" applyNumberFormat="1" applyFont="1" applyFill="1" applyBorder="1" applyAlignment="1">
      <alignment vertical="center" shrinkToFit="1"/>
    </xf>
    <xf numFmtId="176" fontId="9" fillId="0" borderId="117" xfId="0" applyNumberFormat="1" applyFont="1" applyBorder="1" applyAlignment="1">
      <alignment shrinkToFit="1"/>
    </xf>
    <xf numFmtId="178" fontId="9" fillId="0" borderId="117" xfId="0" applyNumberFormat="1" applyFont="1" applyBorder="1" applyAlignment="1">
      <alignment shrinkToFit="1"/>
    </xf>
    <xf numFmtId="178" fontId="9" fillId="0" borderId="124" xfId="0" applyNumberFormat="1" applyFont="1" applyBorder="1" applyAlignment="1">
      <alignment shrinkToFit="1"/>
    </xf>
    <xf numFmtId="176" fontId="9" fillId="35" borderId="117" xfId="0" applyNumberFormat="1" applyFont="1" applyFill="1" applyBorder="1" applyAlignment="1">
      <alignment vertical="center" shrinkToFit="1"/>
    </xf>
    <xf numFmtId="176" fontId="9" fillId="35" borderId="0" xfId="0" applyNumberFormat="1" applyFont="1" applyFill="1" applyAlignment="1">
      <alignment horizontal="right" vertical="center" shrinkToFit="1"/>
    </xf>
    <xf numFmtId="176" fontId="9" fillId="0" borderId="117" xfId="0" applyNumberFormat="1" applyFont="1" applyBorder="1" applyAlignment="1">
      <alignment vertical="center" shrinkToFit="1"/>
    </xf>
    <xf numFmtId="176" fontId="9" fillId="0" borderId="112" xfId="0" applyNumberFormat="1" applyFont="1" applyBorder="1" applyAlignment="1">
      <alignment horizontal="right" vertical="center" shrinkToFit="1"/>
    </xf>
    <xf numFmtId="176" fontId="9" fillId="33" borderId="75" xfId="0" applyNumberFormat="1" applyFont="1" applyFill="1" applyBorder="1" applyAlignment="1">
      <alignment vertical="center" shrinkToFit="1"/>
    </xf>
    <xf numFmtId="176" fontId="9" fillId="34" borderId="75" xfId="0" applyNumberFormat="1" applyFont="1" applyFill="1" applyBorder="1" applyAlignment="1">
      <alignment vertical="center" shrinkToFit="1"/>
    </xf>
    <xf numFmtId="178" fontId="9" fillId="35" borderId="124" xfId="0" applyNumberFormat="1" applyFont="1" applyFill="1" applyBorder="1" applyAlignment="1">
      <alignment shrinkToFit="1"/>
    </xf>
    <xf numFmtId="178" fontId="9" fillId="35" borderId="0" xfId="0" applyNumberFormat="1" applyFont="1" applyFill="1" applyAlignment="1">
      <alignment shrinkToFit="1"/>
    </xf>
    <xf numFmtId="38" fontId="9" fillId="35" borderId="108" xfId="0" applyNumberFormat="1" applyFont="1" applyFill="1" applyBorder="1" applyAlignment="1">
      <alignment vertical="center" shrinkToFit="1"/>
    </xf>
    <xf numFmtId="176" fontId="9" fillId="0" borderId="75" xfId="0" applyNumberFormat="1" applyFont="1" applyBorder="1" applyAlignment="1">
      <alignment vertical="center" shrinkToFit="1"/>
    </xf>
    <xf numFmtId="182" fontId="13" fillId="0" borderId="108" xfId="0" applyNumberFormat="1" applyFont="1" applyBorder="1" applyAlignment="1">
      <alignment vertical="center" shrinkToFit="1"/>
    </xf>
    <xf numFmtId="176" fontId="9" fillId="35" borderId="75" xfId="0" applyNumberFormat="1" applyFont="1" applyFill="1" applyBorder="1" applyAlignment="1">
      <alignment vertical="center" shrinkToFit="1"/>
    </xf>
    <xf numFmtId="38" fontId="9" fillId="33" borderId="0" xfId="0" applyNumberFormat="1" applyFont="1" applyFill="1" applyAlignment="1">
      <alignment vertical="center" shrinkToFit="1"/>
    </xf>
    <xf numFmtId="38" fontId="9" fillId="0" borderId="76" xfId="0" applyNumberFormat="1" applyFont="1" applyBorder="1" applyAlignment="1">
      <alignment vertical="center" shrinkToFit="1"/>
    </xf>
    <xf numFmtId="178" fontId="9" fillId="0" borderId="118" xfId="0" applyNumberFormat="1" applyFont="1" applyBorder="1" applyAlignment="1">
      <alignment shrinkToFit="1"/>
    </xf>
    <xf numFmtId="178" fontId="9" fillId="0" borderId="119" xfId="0" applyNumberFormat="1" applyFont="1" applyBorder="1" applyAlignment="1">
      <alignment shrinkToFit="1"/>
    </xf>
    <xf numFmtId="178" fontId="9" fillId="0" borderId="76" xfId="0" applyNumberFormat="1" applyFont="1" applyBorder="1" applyAlignment="1">
      <alignment shrinkToFit="1"/>
    </xf>
    <xf numFmtId="179" fontId="0" fillId="0" borderId="112" xfId="0" applyNumberFormat="1" applyBorder="1" applyAlignment="1">
      <alignment horizontal="right" vertical="center" shrinkToFit="1"/>
    </xf>
    <xf numFmtId="179" fontId="0" fillId="0" borderId="124" xfId="0" applyNumberFormat="1" applyBorder="1" applyAlignment="1">
      <alignment horizontal="center" vertical="center" shrinkToFit="1"/>
    </xf>
    <xf numFmtId="38" fontId="9" fillId="0" borderId="112" xfId="0" applyNumberFormat="1" applyFont="1" applyBorder="1" applyAlignment="1">
      <alignment horizontal="right" vertical="center" shrinkToFit="1"/>
    </xf>
    <xf numFmtId="38" fontId="9" fillId="0" borderId="124" xfId="0" applyNumberFormat="1" applyFont="1" applyBorder="1" applyAlignment="1">
      <alignment vertical="center" shrinkToFit="1"/>
    </xf>
    <xf numFmtId="38" fontId="9" fillId="35" borderId="124" xfId="0" applyNumberFormat="1" applyFont="1" applyFill="1" applyBorder="1" applyAlignment="1">
      <alignment vertical="center" shrinkToFit="1"/>
    </xf>
    <xf numFmtId="38" fontId="0" fillId="0" borderId="125" xfId="0" applyNumberFormat="1" applyBorder="1" applyAlignment="1">
      <alignment vertical="center" shrinkToFit="1"/>
    </xf>
    <xf numFmtId="0" fontId="3" fillId="0" borderId="48" xfId="0" applyFont="1" applyBorder="1" applyAlignment="1">
      <alignment vertical="center" shrinkToFit="1"/>
    </xf>
    <xf numFmtId="0" fontId="5" fillId="0" borderId="36" xfId="0" applyFont="1" applyBorder="1" applyAlignment="1">
      <alignment horizontal="center" vertical="center"/>
    </xf>
    <xf numFmtId="0" fontId="5" fillId="0" borderId="38" xfId="0" applyFont="1" applyBorder="1" applyAlignment="1">
      <alignment horizontal="center" vertical="center"/>
    </xf>
    <xf numFmtId="177" fontId="5" fillId="37" borderId="28" xfId="49" applyNumberFormat="1" applyFont="1" applyFill="1" applyBorder="1" applyAlignment="1">
      <alignment horizontal="right" vertical="center"/>
    </xf>
    <xf numFmtId="177" fontId="5" fillId="37" borderId="40" xfId="49" applyNumberFormat="1" applyFont="1" applyFill="1" applyBorder="1" applyAlignment="1">
      <alignment horizontal="right" vertical="center"/>
    </xf>
    <xf numFmtId="177" fontId="6" fillId="37" borderId="20" xfId="49" applyNumberFormat="1" applyFont="1" applyFill="1" applyBorder="1" applyAlignment="1">
      <alignment horizontal="right" vertical="center"/>
    </xf>
    <xf numFmtId="177" fontId="6" fillId="37" borderId="43" xfId="49" applyNumberFormat="1" applyFont="1" applyFill="1" applyBorder="1" applyAlignment="1">
      <alignment horizontal="right" vertical="center"/>
    </xf>
    <xf numFmtId="178" fontId="5" fillId="40" borderId="20" xfId="0" applyNumberFormat="1" applyFont="1" applyFill="1" applyBorder="1" applyAlignment="1">
      <alignment vertical="center"/>
    </xf>
    <xf numFmtId="178" fontId="5" fillId="40" borderId="43" xfId="0" applyNumberFormat="1" applyFont="1" applyFill="1" applyBorder="1" applyAlignment="1">
      <alignment vertical="center"/>
    </xf>
    <xf numFmtId="178" fontId="5" fillId="41" borderId="20" xfId="0" applyNumberFormat="1" applyFont="1" applyFill="1" applyBorder="1" applyAlignment="1">
      <alignment vertical="center"/>
    </xf>
    <xf numFmtId="177" fontId="5" fillId="0" borderId="0" xfId="49" applyNumberFormat="1" applyFont="1" applyFill="1" applyAlignment="1">
      <alignment horizontal="right" vertical="center"/>
    </xf>
    <xf numFmtId="38" fontId="10" fillId="0" borderId="0" xfId="49" applyFont="1" applyFill="1" applyAlignment="1">
      <alignment horizontal="right" vertical="center"/>
    </xf>
    <xf numFmtId="178" fontId="5" fillId="40" borderId="14" xfId="0" applyNumberFormat="1" applyFont="1" applyFill="1" applyBorder="1" applyAlignment="1">
      <alignment vertical="center"/>
    </xf>
    <xf numFmtId="178" fontId="5" fillId="0" borderId="59" xfId="0" applyNumberFormat="1" applyFont="1" applyBorder="1" applyAlignment="1">
      <alignment horizontal="right" vertical="center"/>
    </xf>
    <xf numFmtId="0" fontId="5" fillId="0" borderId="15" xfId="0" applyFont="1" applyFill="1" applyBorder="1" applyAlignment="1">
      <alignment vertical="center" shrinkToFit="1"/>
    </xf>
    <xf numFmtId="176" fontId="5" fillId="0" borderId="59" xfId="49" applyNumberFormat="1" applyFont="1" applyFill="1" applyBorder="1" applyAlignment="1">
      <alignment vertical="center" shrinkToFit="1"/>
    </xf>
    <xf numFmtId="176" fontId="5" fillId="0" borderId="103" xfId="49" applyNumberFormat="1" applyFont="1" applyFill="1" applyBorder="1" applyAlignment="1">
      <alignment vertical="center" shrinkToFit="1"/>
    </xf>
    <xf numFmtId="176" fontId="5" fillId="0" borderId="126" xfId="49" applyNumberFormat="1" applyFont="1" applyFill="1" applyBorder="1" applyAlignment="1">
      <alignment horizontal="right" vertical="center" shrinkToFit="1"/>
    </xf>
    <xf numFmtId="176" fontId="5" fillId="0" borderId="127" xfId="49" applyNumberFormat="1" applyFont="1" applyFill="1" applyBorder="1" applyAlignment="1">
      <alignment horizontal="right" vertical="center" shrinkToFit="1"/>
    </xf>
    <xf numFmtId="176" fontId="5" fillId="35" borderId="14" xfId="49" applyNumberFormat="1" applyFont="1" applyFill="1" applyBorder="1" applyAlignment="1">
      <alignment horizontal="right" vertical="center" shrinkToFit="1"/>
    </xf>
    <xf numFmtId="176" fontId="5" fillId="35" borderId="20" xfId="49" applyNumberFormat="1" applyFont="1" applyFill="1" applyBorder="1" applyAlignment="1">
      <alignment horizontal="right" vertical="center" shrinkToFit="1"/>
    </xf>
    <xf numFmtId="176" fontId="5" fillId="0" borderId="14" xfId="49" applyNumberFormat="1" applyFont="1" applyFill="1" applyBorder="1" applyAlignment="1">
      <alignment horizontal="right" vertical="center" shrinkToFit="1"/>
    </xf>
    <xf numFmtId="176" fontId="5" fillId="0" borderId="20" xfId="49" applyNumberFormat="1" applyFont="1" applyFill="1" applyBorder="1" applyAlignment="1">
      <alignment horizontal="right" vertical="center" shrinkToFit="1"/>
    </xf>
    <xf numFmtId="176" fontId="5" fillId="0" borderId="15" xfId="49" applyNumberFormat="1" applyFont="1" applyFill="1" applyBorder="1" applyAlignment="1">
      <alignment horizontal="right" vertical="center" shrinkToFit="1"/>
    </xf>
    <xf numFmtId="176" fontId="5" fillId="0" borderId="33" xfId="49" applyNumberFormat="1" applyFont="1" applyFill="1" applyBorder="1" applyAlignment="1">
      <alignment horizontal="right" vertical="center" shrinkToFit="1"/>
    </xf>
    <xf numFmtId="176" fontId="5" fillId="0" borderId="18" xfId="49" applyNumberFormat="1" applyFont="1" applyFill="1" applyBorder="1" applyAlignment="1">
      <alignment vertical="center" shrinkToFit="1"/>
    </xf>
    <xf numFmtId="176" fontId="5" fillId="0" borderId="41" xfId="49" applyNumberFormat="1" applyFont="1" applyFill="1" applyBorder="1" applyAlignment="1">
      <alignment vertical="center" shrinkToFit="1"/>
    </xf>
    <xf numFmtId="176" fontId="5" fillId="0" borderId="16" xfId="49" applyNumberFormat="1" applyFont="1" applyFill="1" applyBorder="1" applyAlignment="1">
      <alignment horizontal="right" vertical="center" shrinkToFit="1"/>
    </xf>
    <xf numFmtId="176" fontId="5" fillId="0" borderId="43" xfId="49" applyNumberFormat="1" applyFont="1" applyFill="1" applyBorder="1" applyAlignment="1">
      <alignment horizontal="right" vertical="center" shrinkToFit="1"/>
    </xf>
    <xf numFmtId="178" fontId="5" fillId="0" borderId="18" xfId="0" applyNumberFormat="1" applyFont="1" applyBorder="1" applyAlignment="1">
      <alignment vertical="center" shrinkToFit="1"/>
    </xf>
    <xf numFmtId="178" fontId="5" fillId="40" borderId="128" xfId="0" applyNumberFormat="1" applyFont="1" applyFill="1" applyBorder="1" applyAlignment="1">
      <alignment vertical="center"/>
    </xf>
    <xf numFmtId="178" fontId="5" fillId="40" borderId="15" xfId="0" applyNumberFormat="1" applyFont="1" applyFill="1" applyBorder="1" applyAlignment="1">
      <alignment vertical="center"/>
    </xf>
    <xf numFmtId="178" fontId="5" fillId="40" borderId="33" xfId="0" applyNumberFormat="1" applyFont="1" applyFill="1" applyBorder="1" applyAlignment="1">
      <alignment vertical="center"/>
    </xf>
    <xf numFmtId="178" fontId="5" fillId="0" borderId="129" xfId="0" applyNumberFormat="1" applyFont="1" applyBorder="1" applyAlignment="1">
      <alignment vertical="center"/>
    </xf>
    <xf numFmtId="178" fontId="5" fillId="0" borderId="42" xfId="0" applyNumberFormat="1" applyFont="1" applyBorder="1" applyAlignment="1">
      <alignment vertical="center"/>
    </xf>
    <xf numFmtId="178" fontId="5" fillId="40" borderId="30" xfId="0" applyNumberFormat="1" applyFont="1" applyFill="1" applyBorder="1" applyAlignment="1">
      <alignment vertical="center"/>
    </xf>
    <xf numFmtId="178" fontId="5" fillId="40" borderId="130" xfId="0" applyNumberFormat="1" applyFont="1" applyFill="1" applyBorder="1" applyAlignment="1">
      <alignment vertical="center"/>
    </xf>
    <xf numFmtId="0" fontId="4" fillId="0" borderId="77" xfId="0" applyFont="1" applyBorder="1" applyAlignment="1">
      <alignment vertical="center" wrapText="1"/>
    </xf>
    <xf numFmtId="178" fontId="5" fillId="0" borderId="131" xfId="0" applyNumberFormat="1" applyFont="1" applyBorder="1" applyAlignment="1">
      <alignment vertical="center"/>
    </xf>
    <xf numFmtId="178" fontId="5" fillId="0" borderId="132" xfId="0" applyNumberFormat="1" applyFont="1" applyBorder="1" applyAlignment="1">
      <alignment vertical="center"/>
    </xf>
    <xf numFmtId="178" fontId="5" fillId="0" borderId="28" xfId="0" applyNumberFormat="1" applyFont="1" applyBorder="1" applyAlignment="1">
      <alignment vertical="center"/>
    </xf>
    <xf numFmtId="178" fontId="5" fillId="0" borderId="133" xfId="0" applyNumberFormat="1" applyFont="1" applyBorder="1" applyAlignment="1">
      <alignment vertical="center"/>
    </xf>
    <xf numFmtId="178" fontId="5" fillId="0" borderId="134" xfId="0" applyNumberFormat="1" applyFont="1" applyBorder="1" applyAlignment="1">
      <alignment vertical="center"/>
    </xf>
    <xf numFmtId="178" fontId="5" fillId="0" borderId="135" xfId="0" applyNumberFormat="1" applyFont="1" applyBorder="1" applyAlignment="1">
      <alignment vertical="center"/>
    </xf>
    <xf numFmtId="178" fontId="5" fillId="0" borderId="136" xfId="0" applyNumberFormat="1" applyFont="1" applyBorder="1" applyAlignment="1">
      <alignment vertical="center"/>
    </xf>
    <xf numFmtId="178" fontId="5" fillId="0" borderId="137" xfId="0" applyNumberFormat="1" applyFont="1" applyBorder="1" applyAlignment="1">
      <alignment vertical="center"/>
    </xf>
    <xf numFmtId="178" fontId="5" fillId="0" borderId="138" xfId="0" applyNumberFormat="1" applyFont="1" applyBorder="1" applyAlignment="1">
      <alignment vertical="center"/>
    </xf>
    <xf numFmtId="38" fontId="5" fillId="36" borderId="49" xfId="49" applyFont="1" applyFill="1" applyBorder="1" applyAlignment="1">
      <alignment horizontal="center" vertical="center"/>
    </xf>
    <xf numFmtId="178" fontId="5" fillId="0" borderId="88" xfId="0" applyNumberFormat="1" applyFont="1" applyBorder="1" applyAlignment="1">
      <alignment vertical="center"/>
    </xf>
    <xf numFmtId="178" fontId="5" fillId="35" borderId="138" xfId="0" applyNumberFormat="1" applyFont="1" applyFill="1" applyBorder="1" applyAlignment="1">
      <alignment vertical="center"/>
    </xf>
    <xf numFmtId="178" fontId="5" fillId="40" borderId="132" xfId="0" applyNumberFormat="1" applyFont="1" applyFill="1" applyBorder="1" applyAlignment="1">
      <alignment vertical="center"/>
    </xf>
    <xf numFmtId="178" fontId="5" fillId="0" borderId="139" xfId="0" applyNumberFormat="1" applyFont="1" applyBorder="1" applyAlignment="1">
      <alignment vertical="center"/>
    </xf>
    <xf numFmtId="178" fontId="5" fillId="35" borderId="41" xfId="0" applyNumberFormat="1" applyFont="1" applyFill="1" applyBorder="1" applyAlignment="1">
      <alignment vertical="center"/>
    </xf>
    <xf numFmtId="178" fontId="5" fillId="35" borderId="20" xfId="0" applyNumberFormat="1" applyFont="1" applyFill="1" applyBorder="1" applyAlignment="1">
      <alignment vertical="center"/>
    </xf>
    <xf numFmtId="178" fontId="5" fillId="0" borderId="140" xfId="0" applyNumberFormat="1" applyFont="1" applyFill="1" applyBorder="1" applyAlignment="1">
      <alignment vertical="center" wrapText="1"/>
    </xf>
    <xf numFmtId="178" fontId="5" fillId="0" borderId="35" xfId="0" applyNumberFormat="1" applyFont="1" applyFill="1" applyBorder="1" applyAlignment="1">
      <alignment vertical="center"/>
    </xf>
    <xf numFmtId="178" fontId="5" fillId="0" borderId="14" xfId="0" applyNumberFormat="1" applyFont="1" applyFill="1" applyBorder="1" applyAlignment="1">
      <alignment/>
    </xf>
    <xf numFmtId="178" fontId="90" fillId="0" borderId="0" xfId="0" applyNumberFormat="1" applyFont="1" applyAlignment="1">
      <alignment vertical="center"/>
    </xf>
    <xf numFmtId="38" fontId="9" fillId="42" borderId="75" xfId="0" applyNumberFormat="1" applyFont="1" applyFill="1" applyBorder="1" applyAlignment="1">
      <alignment vertical="center" shrinkToFit="1"/>
    </xf>
    <xf numFmtId="178" fontId="1" fillId="0" borderId="0" xfId="0" applyNumberFormat="1" applyFont="1" applyAlignment="1">
      <alignment horizontal="left" vertical="center"/>
    </xf>
    <xf numFmtId="178" fontId="5" fillId="0" borderId="59" xfId="0" applyNumberFormat="1" applyFont="1" applyFill="1" applyBorder="1" applyAlignment="1">
      <alignment/>
    </xf>
    <xf numFmtId="178" fontId="5" fillId="0" borderId="103" xfId="0" applyNumberFormat="1" applyFont="1" applyFill="1" applyBorder="1" applyAlignment="1">
      <alignment/>
    </xf>
    <xf numFmtId="178" fontId="5" fillId="0" borderId="141" xfId="0" applyNumberFormat="1" applyFont="1" applyFill="1" applyBorder="1" applyAlignment="1">
      <alignment/>
    </xf>
    <xf numFmtId="178" fontId="5" fillId="0" borderId="135" xfId="0" applyNumberFormat="1" applyFont="1" applyFill="1" applyBorder="1" applyAlignment="1">
      <alignment/>
    </xf>
    <xf numFmtId="178" fontId="5" fillId="0" borderId="20" xfId="0" applyNumberFormat="1" applyFont="1" applyFill="1" applyBorder="1" applyAlignment="1">
      <alignment/>
    </xf>
    <xf numFmtId="178" fontId="5" fillId="0" borderId="87" xfId="0" applyNumberFormat="1" applyFont="1" applyFill="1" applyBorder="1" applyAlignment="1">
      <alignment/>
    </xf>
    <xf numFmtId="178" fontId="5" fillId="0" borderId="15" xfId="0" applyNumberFormat="1" applyFont="1" applyFill="1" applyBorder="1" applyAlignment="1">
      <alignment/>
    </xf>
    <xf numFmtId="178" fontId="5" fillId="0" borderId="33" xfId="0" applyNumberFormat="1" applyFont="1" applyFill="1" applyBorder="1" applyAlignment="1">
      <alignment/>
    </xf>
    <xf numFmtId="178" fontId="5" fillId="0" borderId="18" xfId="0" applyNumberFormat="1" applyFont="1" applyFill="1" applyBorder="1" applyAlignment="1">
      <alignment/>
    </xf>
    <xf numFmtId="178" fontId="5" fillId="0" borderId="41" xfId="0" applyNumberFormat="1" applyFont="1" applyFill="1" applyBorder="1" applyAlignment="1">
      <alignment/>
    </xf>
    <xf numFmtId="0" fontId="5" fillId="0" borderId="141" xfId="0" applyFont="1" applyFill="1" applyBorder="1" applyAlignment="1">
      <alignment/>
    </xf>
    <xf numFmtId="178" fontId="5" fillId="0" borderId="66" xfId="0" applyNumberFormat="1" applyFont="1" applyFill="1" applyBorder="1" applyAlignment="1">
      <alignment/>
    </xf>
    <xf numFmtId="178" fontId="5" fillId="0" borderId="16" xfId="0" applyNumberFormat="1" applyFont="1" applyFill="1" applyBorder="1" applyAlignment="1">
      <alignment/>
    </xf>
    <xf numFmtId="178" fontId="5" fillId="0" borderId="43" xfId="0" applyNumberFormat="1" applyFont="1" applyFill="1" applyBorder="1" applyAlignment="1">
      <alignment/>
    </xf>
    <xf numFmtId="178" fontId="5" fillId="0" borderId="38" xfId="0" applyNumberFormat="1" applyFont="1" applyFill="1" applyBorder="1" applyAlignment="1">
      <alignment vertical="center"/>
    </xf>
    <xf numFmtId="178" fontId="5" fillId="0" borderId="142" xfId="0" applyNumberFormat="1" applyFont="1" applyFill="1" applyBorder="1" applyAlignment="1">
      <alignment vertical="center"/>
    </xf>
    <xf numFmtId="178" fontId="5" fillId="0" borderId="14" xfId="0" applyNumberFormat="1" applyFont="1" applyFill="1" applyBorder="1" applyAlignment="1">
      <alignment horizontal="right" vertical="center"/>
    </xf>
    <xf numFmtId="0" fontId="20" fillId="0" borderId="67" xfId="0" applyFont="1" applyBorder="1" applyAlignment="1">
      <alignment vertical="center"/>
    </xf>
    <xf numFmtId="0" fontId="5" fillId="0" borderId="0" xfId="0" applyFont="1" applyBorder="1" applyAlignment="1">
      <alignment vertical="center"/>
    </xf>
    <xf numFmtId="176" fontId="5" fillId="0" borderId="143" xfId="0" applyNumberFormat="1" applyFont="1" applyFill="1" applyBorder="1" applyAlignment="1">
      <alignment horizontal="right" vertical="center"/>
    </xf>
    <xf numFmtId="3" fontId="9" fillId="33" borderId="75" xfId="0" applyNumberFormat="1" applyFont="1" applyFill="1" applyBorder="1" applyAlignment="1">
      <alignment vertical="center" shrinkToFit="1"/>
    </xf>
    <xf numFmtId="3" fontId="9" fillId="33" borderId="112" xfId="0" applyNumberFormat="1" applyFont="1" applyFill="1" applyBorder="1" applyAlignment="1">
      <alignment vertical="center" shrinkToFit="1"/>
    </xf>
    <xf numFmtId="178" fontId="5" fillId="0" borderId="19" xfId="0" applyNumberFormat="1" applyFont="1" applyFill="1" applyBorder="1" applyAlignment="1">
      <alignment vertical="center"/>
    </xf>
    <xf numFmtId="0" fontId="5" fillId="0" borderId="67" xfId="0" applyFont="1" applyBorder="1" applyAlignment="1">
      <alignment vertical="center"/>
    </xf>
    <xf numFmtId="178" fontId="5" fillId="0" borderId="54" xfId="0" applyNumberFormat="1" applyFont="1" applyBorder="1" applyAlignment="1">
      <alignment vertical="center"/>
    </xf>
    <xf numFmtId="0" fontId="12" fillId="43" borderId="131" xfId="0" applyFont="1" applyFill="1" applyBorder="1" applyAlignment="1">
      <alignment horizontal="centerContinuous" vertical="center" wrapText="1"/>
    </xf>
    <xf numFmtId="0" fontId="0" fillId="43" borderId="53" xfId="0" applyFill="1" applyBorder="1" applyAlignment="1">
      <alignment horizontal="centerContinuous" vertical="center" wrapText="1"/>
    </xf>
    <xf numFmtId="0" fontId="12" fillId="0" borderId="19" xfId="0" applyFont="1" applyFill="1" applyBorder="1" applyAlignment="1">
      <alignment horizontal="centerContinuous" vertical="center"/>
    </xf>
    <xf numFmtId="0" fontId="12" fillId="0" borderId="31" xfId="0" applyFont="1" applyFill="1" applyBorder="1" applyAlignment="1">
      <alignment horizontal="centerContinuous" vertical="center"/>
    </xf>
    <xf numFmtId="0" fontId="12" fillId="0" borderId="19" xfId="0" applyFont="1" applyBorder="1" applyAlignment="1">
      <alignment horizontal="centerContinuous" vertical="center" wrapText="1"/>
    </xf>
    <xf numFmtId="0" fontId="0" fillId="0" borderId="31" xfId="0" applyBorder="1" applyAlignment="1">
      <alignment horizontal="centerContinuous" vertical="center" wrapText="1"/>
    </xf>
    <xf numFmtId="0" fontId="12" fillId="0" borderId="31" xfId="0" applyFont="1" applyBorder="1" applyAlignment="1">
      <alignment horizontal="centerContinuous" vertical="center" wrapText="1"/>
    </xf>
    <xf numFmtId="0" fontId="12" fillId="0" borderId="29" xfId="0" applyFont="1" applyBorder="1" applyAlignment="1">
      <alignment horizontal="centerContinuous" vertical="center" wrapText="1"/>
    </xf>
    <xf numFmtId="0" fontId="12" fillId="39" borderId="53" xfId="0" applyFont="1" applyFill="1" applyBorder="1" applyAlignment="1">
      <alignment horizontal="centerContinuous" vertical="center"/>
    </xf>
    <xf numFmtId="0" fontId="12" fillId="0" borderId="144" xfId="0" applyFont="1" applyBorder="1" applyAlignment="1">
      <alignment horizontal="center" vertical="center"/>
    </xf>
    <xf numFmtId="179" fontId="0" fillId="0" borderId="145" xfId="0" applyNumberFormat="1" applyBorder="1" applyAlignment="1">
      <alignment horizontal="center" vertical="center" shrinkToFit="1"/>
    </xf>
    <xf numFmtId="178" fontId="9" fillId="35" borderId="112" xfId="0" applyNumberFormat="1" applyFont="1" applyFill="1" applyBorder="1" applyAlignment="1">
      <alignment shrinkToFit="1"/>
    </xf>
    <xf numFmtId="179" fontId="0" fillId="0" borderId="146" xfId="0" applyNumberFormat="1" applyBorder="1" applyAlignment="1">
      <alignment horizontal="center" vertical="center" shrinkToFit="1"/>
    </xf>
    <xf numFmtId="181" fontId="13" fillId="33" borderId="146" xfId="0" applyNumberFormat="1" applyFont="1" applyFill="1" applyBorder="1" applyAlignment="1">
      <alignment horizontal="right" vertical="center" shrinkToFit="1"/>
    </xf>
    <xf numFmtId="181" fontId="13" fillId="0" borderId="146" xfId="0" applyNumberFormat="1" applyFont="1" applyFill="1" applyBorder="1" applyAlignment="1">
      <alignment horizontal="right" vertical="center" shrinkToFit="1"/>
    </xf>
    <xf numFmtId="182" fontId="14" fillId="0" borderId="147" xfId="0" applyNumberFormat="1" applyFont="1" applyBorder="1" applyAlignment="1">
      <alignment vertical="center" shrinkToFit="1"/>
    </xf>
    <xf numFmtId="0" fontId="12" fillId="0" borderId="67" xfId="0" applyFont="1" applyBorder="1" applyAlignment="1">
      <alignment/>
    </xf>
    <xf numFmtId="38" fontId="0" fillId="0" borderId="67" xfId="0" applyNumberFormat="1" applyBorder="1" applyAlignment="1">
      <alignment/>
    </xf>
    <xf numFmtId="0" fontId="12" fillId="39" borderId="131" xfId="0" applyFont="1" applyFill="1" applyBorder="1" applyAlignment="1">
      <alignment horizontal="centerContinuous" vertical="center"/>
    </xf>
    <xf numFmtId="0" fontId="12" fillId="38" borderId="148" xfId="0" applyFont="1" applyFill="1" applyBorder="1" applyAlignment="1">
      <alignment horizontal="centerContinuous" vertical="center" wrapText="1"/>
    </xf>
    <xf numFmtId="182" fontId="13" fillId="0" borderId="108" xfId="0" applyNumberFormat="1" applyFont="1" applyBorder="1" applyAlignment="1">
      <alignment horizontal="right" vertical="center" shrinkToFit="1"/>
    </xf>
    <xf numFmtId="38" fontId="5" fillId="0" borderId="0" xfId="0" applyNumberFormat="1" applyFont="1" applyAlignment="1">
      <alignment vertical="center"/>
    </xf>
    <xf numFmtId="0" fontId="91" fillId="0" borderId="0" xfId="0" applyFont="1" applyAlignment="1">
      <alignment vertical="center"/>
    </xf>
    <xf numFmtId="178" fontId="5" fillId="0" borderId="39" xfId="0" applyNumberFormat="1" applyFont="1" applyFill="1" applyBorder="1" applyAlignment="1">
      <alignment vertical="center"/>
    </xf>
    <xf numFmtId="178" fontId="5" fillId="0" borderId="40" xfId="0" applyNumberFormat="1" applyFont="1" applyFill="1" applyBorder="1" applyAlignment="1">
      <alignment vertical="center"/>
    </xf>
    <xf numFmtId="178" fontId="5" fillId="0" borderId="18" xfId="0" applyNumberFormat="1" applyFont="1" applyFill="1" applyBorder="1" applyAlignment="1">
      <alignment vertical="center"/>
    </xf>
    <xf numFmtId="178" fontId="5" fillId="0" borderId="41" xfId="0" applyNumberFormat="1" applyFont="1" applyFill="1" applyBorder="1" applyAlignment="1">
      <alignment vertical="center"/>
    </xf>
    <xf numFmtId="178" fontId="19" fillId="33" borderId="149" xfId="0" applyNumberFormat="1" applyFont="1" applyFill="1" applyBorder="1" applyAlignment="1">
      <alignment horizontal="distributed" vertical="center" shrinkToFit="1"/>
    </xf>
    <xf numFmtId="178" fontId="8" fillId="33" borderId="42" xfId="0" applyNumberFormat="1" applyFont="1" applyFill="1" applyBorder="1" applyAlignment="1">
      <alignment horizontal="distributed" vertical="center" shrinkToFit="1"/>
    </xf>
    <xf numFmtId="178" fontId="4" fillId="36" borderId="149" xfId="0" applyNumberFormat="1" applyFont="1" applyFill="1" applyBorder="1" applyAlignment="1">
      <alignment horizontal="distributed" vertical="center" shrinkToFit="1"/>
    </xf>
    <xf numFmtId="178" fontId="4" fillId="34" borderId="150" xfId="0" applyNumberFormat="1" applyFont="1" applyFill="1" applyBorder="1" applyAlignment="1">
      <alignment horizontal="distributed" vertical="center" shrinkToFit="1"/>
    </xf>
    <xf numFmtId="178" fontId="5" fillId="0" borderId="141" xfId="0" applyNumberFormat="1" applyFont="1" applyBorder="1" applyAlignment="1">
      <alignment vertical="center" shrinkToFit="1"/>
    </xf>
    <xf numFmtId="178" fontId="5" fillId="35" borderId="105" xfId="0" applyNumberFormat="1" applyFont="1" applyFill="1" applyBorder="1" applyAlignment="1">
      <alignment horizontal="distributed" vertical="center"/>
    </xf>
    <xf numFmtId="178" fontId="5" fillId="0" borderId="20" xfId="0" applyNumberFormat="1" applyFont="1" applyBorder="1" applyAlignment="1">
      <alignment vertical="center" shrinkToFit="1"/>
    </xf>
    <xf numFmtId="178" fontId="5" fillId="35" borderId="105" xfId="0" applyNumberFormat="1" applyFont="1" applyFill="1" applyBorder="1" applyAlignment="1">
      <alignment horizontal="center" vertical="center" shrinkToFit="1"/>
    </xf>
    <xf numFmtId="178" fontId="5" fillId="35" borderId="107" xfId="0" applyNumberFormat="1" applyFont="1" applyFill="1" applyBorder="1" applyAlignment="1">
      <alignment horizontal="distributed" vertical="center"/>
    </xf>
    <xf numFmtId="178" fontId="5" fillId="0" borderId="66" xfId="0" applyNumberFormat="1" applyFont="1" applyBorder="1" applyAlignment="1">
      <alignment vertical="center" shrinkToFit="1"/>
    </xf>
    <xf numFmtId="178" fontId="5" fillId="0" borderId="16" xfId="0" applyNumberFormat="1" applyFont="1" applyBorder="1" applyAlignment="1">
      <alignment vertical="center" shrinkToFit="1"/>
    </xf>
    <xf numFmtId="178" fontId="5" fillId="0" borderId="151" xfId="0" applyNumberFormat="1" applyFont="1" applyBorder="1" applyAlignment="1">
      <alignment vertical="center" shrinkToFit="1"/>
    </xf>
    <xf numFmtId="178" fontId="8" fillId="35" borderId="105" xfId="0" applyNumberFormat="1" applyFont="1" applyFill="1" applyBorder="1" applyAlignment="1">
      <alignment horizontal="distributed" vertical="center"/>
    </xf>
    <xf numFmtId="0" fontId="92" fillId="0" borderId="0" xfId="0" applyFont="1" applyAlignment="1">
      <alignment vertical="center"/>
    </xf>
    <xf numFmtId="0" fontId="92" fillId="0" borderId="0" xfId="0" applyFont="1" applyAlignment="1">
      <alignment horizontal="right" vertical="center"/>
    </xf>
    <xf numFmtId="0" fontId="0" fillId="0" borderId="14" xfId="0" applyBorder="1" applyAlignment="1">
      <alignment horizontal="distributed" vertical="center"/>
    </xf>
    <xf numFmtId="0" fontId="0" fillId="0" borderId="14" xfId="0" applyBorder="1" applyAlignment="1">
      <alignment horizontal="center"/>
    </xf>
    <xf numFmtId="0" fontId="0" fillId="0" borderId="42" xfId="0" applyBorder="1" applyAlignment="1">
      <alignment/>
    </xf>
    <xf numFmtId="0" fontId="0" fillId="0" borderId="149" xfId="0" applyBorder="1" applyAlignment="1">
      <alignment/>
    </xf>
    <xf numFmtId="38" fontId="0" fillId="0" borderId="14" xfId="49" applyFont="1" applyBorder="1" applyAlignment="1">
      <alignment/>
    </xf>
    <xf numFmtId="9" fontId="0" fillId="0" borderId="0" xfId="42" applyFont="1" applyAlignment="1">
      <alignment/>
    </xf>
    <xf numFmtId="0" fontId="0" fillId="0" borderId="0" xfId="0" applyNumberFormat="1" applyAlignment="1">
      <alignment/>
    </xf>
    <xf numFmtId="0" fontId="0" fillId="44" borderId="0" xfId="0" applyNumberFormat="1" applyFill="1" applyAlignment="1">
      <alignment/>
    </xf>
    <xf numFmtId="0" fontId="0" fillId="44" borderId="0" xfId="0" applyFill="1" applyAlignment="1">
      <alignment/>
    </xf>
    <xf numFmtId="200" fontId="0" fillId="0" borderId="0" xfId="0" applyNumberFormat="1" applyAlignment="1">
      <alignment/>
    </xf>
    <xf numFmtId="0" fontId="93" fillId="0" borderId="0" xfId="0" applyFont="1" applyAlignment="1">
      <alignment/>
    </xf>
    <xf numFmtId="200" fontId="0" fillId="44" borderId="0" xfId="0" applyNumberFormat="1" applyFill="1" applyAlignment="1">
      <alignment/>
    </xf>
    <xf numFmtId="0" fontId="0" fillId="0" borderId="0" xfId="0" applyFill="1" applyAlignment="1">
      <alignment/>
    </xf>
    <xf numFmtId="0" fontId="0" fillId="0" borderId="65" xfId="0" applyBorder="1" applyAlignment="1">
      <alignment horizontal="center"/>
    </xf>
    <xf numFmtId="38" fontId="0" fillId="0" borderId="14" xfId="49" applyFont="1" applyBorder="1" applyAlignment="1">
      <alignment horizontal="center"/>
    </xf>
    <xf numFmtId="38" fontId="0" fillId="0" borderId="14" xfId="49" applyFont="1" applyBorder="1" applyAlignment="1">
      <alignment horizontal="center" shrinkToFit="1"/>
    </xf>
    <xf numFmtId="0" fontId="0" fillId="0" borderId="14" xfId="0" applyBorder="1" applyAlignment="1">
      <alignment horizontal="right"/>
    </xf>
    <xf numFmtId="38" fontId="0" fillId="0" borderId="14" xfId="49" applyBorder="1" applyAlignment="1">
      <alignment/>
    </xf>
    <xf numFmtId="199" fontId="0" fillId="0" borderId="0" xfId="0" applyNumberFormat="1" applyBorder="1" applyAlignment="1">
      <alignment/>
    </xf>
    <xf numFmtId="0" fontId="0" fillId="0" borderId="18" xfId="0" applyBorder="1" applyAlignment="1">
      <alignment/>
    </xf>
    <xf numFmtId="0" fontId="94" fillId="0" borderId="0" xfId="0" applyFont="1" applyAlignment="1">
      <alignment/>
    </xf>
    <xf numFmtId="0" fontId="0" fillId="0" borderId="14" xfId="0" applyBorder="1" applyAlignment="1">
      <alignment/>
    </xf>
    <xf numFmtId="190" fontId="0" fillId="0" borderId="14" xfId="0" applyNumberFormat="1" applyBorder="1" applyAlignment="1">
      <alignment/>
    </xf>
    <xf numFmtId="190" fontId="0" fillId="0" borderId="0" xfId="0" applyNumberFormat="1" applyAlignment="1">
      <alignment/>
    </xf>
    <xf numFmtId="0" fontId="0" fillId="0" borderId="49" xfId="0" applyBorder="1" applyAlignment="1">
      <alignment horizontal="left"/>
    </xf>
    <xf numFmtId="0" fontId="0" fillId="0" borderId="52" xfId="0" applyBorder="1" applyAlignment="1">
      <alignment horizontal="right"/>
    </xf>
    <xf numFmtId="0" fontId="0" fillId="0" borderId="0" xfId="0" applyBorder="1" applyAlignment="1">
      <alignment horizontal="left"/>
    </xf>
    <xf numFmtId="0" fontId="0" fillId="0" borderId="48" xfId="0" applyBorder="1" applyAlignment="1">
      <alignment horizontal="left"/>
    </xf>
    <xf numFmtId="0" fontId="0" fillId="0" borderId="51" xfId="0" applyBorder="1" applyAlignment="1">
      <alignment horizontal="left"/>
    </xf>
    <xf numFmtId="0" fontId="0" fillId="0" borderId="39" xfId="0" applyBorder="1" applyAlignment="1">
      <alignment horizontal="left"/>
    </xf>
    <xf numFmtId="38" fontId="21" fillId="0" borderId="16" xfId="49" applyFont="1" applyBorder="1" applyAlignment="1">
      <alignment horizontal="distributed" vertical="center"/>
    </xf>
    <xf numFmtId="0" fontId="0" fillId="0" borderId="68" xfId="0" applyBorder="1" applyAlignment="1">
      <alignment horizontal="left"/>
    </xf>
    <xf numFmtId="0" fontId="0" fillId="0" borderId="67" xfId="0" applyBorder="1" applyAlignment="1">
      <alignment horizontal="left"/>
    </xf>
    <xf numFmtId="0" fontId="0" fillId="0" borderId="69" xfId="0" applyBorder="1" applyAlignment="1">
      <alignment horizontal="left"/>
    </xf>
    <xf numFmtId="0" fontId="0" fillId="0" borderId="152" xfId="0" applyBorder="1" applyAlignment="1">
      <alignment/>
    </xf>
    <xf numFmtId="0" fontId="0" fillId="0" borderId="153" xfId="0" applyBorder="1" applyAlignment="1">
      <alignment/>
    </xf>
    <xf numFmtId="0" fontId="0" fillId="0" borderId="154" xfId="0" applyBorder="1" applyAlignment="1">
      <alignment/>
    </xf>
    <xf numFmtId="38" fontId="26" fillId="0" borderId="14" xfId="49" applyFont="1" applyBorder="1" applyAlignment="1">
      <alignment/>
    </xf>
    <xf numFmtId="38" fontId="7" fillId="0" borderId="14" xfId="49" applyFont="1" applyFill="1" applyBorder="1" applyAlignment="1">
      <alignment/>
    </xf>
    <xf numFmtId="0" fontId="27" fillId="0" borderId="42" xfId="0" applyFont="1" applyBorder="1" applyAlignment="1">
      <alignment horizontal="right"/>
    </xf>
    <xf numFmtId="0" fontId="27" fillId="0" borderId="54" xfId="0" applyFont="1" applyBorder="1" applyAlignment="1">
      <alignment horizontal="right"/>
    </xf>
    <xf numFmtId="0" fontId="6" fillId="45" borderId="14" xfId="0" applyFont="1" applyFill="1" applyBorder="1" applyAlignment="1">
      <alignment horizontal="center" vertical="center"/>
    </xf>
    <xf numFmtId="0" fontId="5" fillId="45" borderId="14" xfId="0" applyFont="1" applyFill="1" applyBorder="1" applyAlignment="1">
      <alignment horizontal="center" vertical="center"/>
    </xf>
    <xf numFmtId="0" fontId="8" fillId="45" borderId="14" xfId="0" applyFont="1" applyFill="1" applyBorder="1" applyAlignment="1">
      <alignment horizontal="center" vertical="center" wrapText="1"/>
    </xf>
    <xf numFmtId="0" fontId="6" fillId="42" borderId="14" xfId="0" applyFont="1" applyFill="1" applyBorder="1" applyAlignment="1">
      <alignment horizontal="center" vertical="center"/>
    </xf>
    <xf numFmtId="0" fontId="5" fillId="42" borderId="19" xfId="0" applyFont="1" applyFill="1" applyBorder="1" applyAlignment="1">
      <alignment horizontal="center" vertical="center"/>
    </xf>
    <xf numFmtId="38" fontId="5" fillId="0" borderId="14" xfId="49" applyFont="1" applyBorder="1" applyAlignment="1">
      <alignment/>
    </xf>
    <xf numFmtId="3" fontId="5" fillId="0" borderId="18" xfId="0" applyNumberFormat="1" applyFont="1" applyBorder="1" applyAlignment="1">
      <alignment/>
    </xf>
    <xf numFmtId="38" fontId="0" fillId="0" borderId="0" xfId="0" applyNumberFormat="1" applyBorder="1" applyAlignment="1">
      <alignment/>
    </xf>
    <xf numFmtId="0" fontId="5" fillId="0" borderId="0" xfId="0" applyFont="1" applyFill="1" applyBorder="1" applyAlignment="1">
      <alignment horizontal="distributed" vertical="center"/>
    </xf>
    <xf numFmtId="38" fontId="5" fillId="0" borderId="14" xfId="0" applyNumberFormat="1" applyFont="1" applyBorder="1" applyAlignment="1">
      <alignment/>
    </xf>
    <xf numFmtId="190" fontId="5" fillId="0" borderId="14" xfId="0" applyNumberFormat="1" applyFont="1" applyBorder="1" applyAlignment="1">
      <alignment/>
    </xf>
    <xf numFmtId="181" fontId="5" fillId="0" borderId="18" xfId="0" applyNumberFormat="1" applyFont="1" applyBorder="1" applyAlignment="1">
      <alignment/>
    </xf>
    <xf numFmtId="0" fontId="5" fillId="0" borderId="0" xfId="0" applyFont="1" applyBorder="1" applyAlignment="1">
      <alignment/>
    </xf>
    <xf numFmtId="209" fontId="5" fillId="0" borderId="0" xfId="0" applyNumberFormat="1" applyFont="1" applyBorder="1" applyAlignment="1">
      <alignment/>
    </xf>
    <xf numFmtId="190" fontId="5" fillId="0" borderId="18" xfId="0" applyNumberFormat="1" applyFont="1" applyBorder="1" applyAlignment="1">
      <alignment/>
    </xf>
    <xf numFmtId="197" fontId="5" fillId="0" borderId="28" xfId="0" applyNumberFormat="1" applyFont="1" applyBorder="1" applyAlignment="1">
      <alignment/>
    </xf>
    <xf numFmtId="197" fontId="5" fillId="0" borderId="19" xfId="0" applyNumberFormat="1" applyFont="1" applyBorder="1" applyAlignment="1">
      <alignment/>
    </xf>
    <xf numFmtId="0" fontId="0" fillId="0" borderId="104" xfId="0" applyBorder="1" applyAlignment="1">
      <alignment/>
    </xf>
    <xf numFmtId="0" fontId="21" fillId="0" borderId="0" xfId="0" applyFont="1" applyAlignment="1">
      <alignment/>
    </xf>
    <xf numFmtId="0" fontId="10" fillId="0" borderId="27" xfId="0" applyFont="1" applyBorder="1" applyAlignment="1">
      <alignment/>
    </xf>
    <xf numFmtId="0" fontId="0" fillId="7" borderId="0" xfId="0" applyFill="1" applyAlignment="1">
      <alignment/>
    </xf>
    <xf numFmtId="0" fontId="0" fillId="0" borderId="0" xfId="0" applyFill="1" applyBorder="1" applyAlignment="1">
      <alignment/>
    </xf>
    <xf numFmtId="0" fontId="0" fillId="0" borderId="16" xfId="0" applyBorder="1" applyAlignment="1">
      <alignment/>
    </xf>
    <xf numFmtId="0" fontId="0" fillId="0" borderId="28" xfId="0" applyBorder="1" applyAlignment="1">
      <alignment/>
    </xf>
    <xf numFmtId="0" fontId="10" fillId="0" borderId="18" xfId="0" applyFont="1" applyBorder="1" applyAlignment="1">
      <alignment/>
    </xf>
    <xf numFmtId="0" fontId="10" fillId="44" borderId="14" xfId="0" applyFont="1" applyFill="1" applyBorder="1" applyAlignment="1">
      <alignment/>
    </xf>
    <xf numFmtId="0" fontId="10" fillId="0" borderId="14" xfId="0" applyFont="1" applyBorder="1" applyAlignment="1">
      <alignment/>
    </xf>
    <xf numFmtId="0" fontId="0" fillId="0" borderId="20" xfId="0" applyBorder="1" applyAlignment="1">
      <alignment horizontal="center"/>
    </xf>
    <xf numFmtId="0" fontId="0" fillId="0" borderId="155" xfId="0" applyBorder="1" applyAlignment="1">
      <alignment horizontal="distributed" vertical="center"/>
    </xf>
    <xf numFmtId="0" fontId="0" fillId="0" borderId="55" xfId="0" applyBorder="1" applyAlignment="1">
      <alignment horizontal="distributed" vertical="center"/>
    </xf>
    <xf numFmtId="0" fontId="0" fillId="0" borderId="143" xfId="0" applyBorder="1" applyAlignment="1">
      <alignment horizontal="right"/>
    </xf>
    <xf numFmtId="0" fontId="0" fillId="0" borderId="42" xfId="0" applyBorder="1" applyAlignment="1">
      <alignment horizontal="right"/>
    </xf>
    <xf numFmtId="0" fontId="0" fillId="0" borderId="77" xfId="0" applyBorder="1" applyAlignment="1">
      <alignment horizontal="right"/>
    </xf>
    <xf numFmtId="211" fontId="0" fillId="0" borderId="14" xfId="0" applyNumberFormat="1" applyFill="1" applyBorder="1" applyAlignment="1">
      <alignment shrinkToFit="1"/>
    </xf>
    <xf numFmtId="38" fontId="0" fillId="0" borderId="0" xfId="49" applyFont="1" applyFill="1" applyBorder="1" applyAlignment="1">
      <alignment shrinkToFit="1"/>
    </xf>
    <xf numFmtId="211" fontId="0" fillId="0" borderId="0" xfId="0" applyNumberFormat="1" applyFill="1" applyBorder="1" applyAlignment="1">
      <alignment shrinkToFit="1"/>
    </xf>
    <xf numFmtId="38" fontId="0" fillId="0" borderId="14" xfId="49" applyFont="1" applyFill="1" applyBorder="1" applyAlignment="1">
      <alignment shrinkToFit="1"/>
    </xf>
    <xf numFmtId="38" fontId="0" fillId="0" borderId="16" xfId="49" applyFont="1" applyFill="1" applyBorder="1" applyAlignment="1">
      <alignment shrinkToFit="1"/>
    </xf>
    <xf numFmtId="0" fontId="10" fillId="0" borderId="0" xfId="0" applyFont="1" applyBorder="1" applyAlignment="1">
      <alignment horizontal="center" vertical="center"/>
    </xf>
    <xf numFmtId="0" fontId="10" fillId="0" borderId="29" xfId="0" applyFont="1" applyBorder="1" applyAlignment="1">
      <alignment/>
    </xf>
    <xf numFmtId="0" fontId="10" fillId="0" borderId="55" xfId="0" applyFont="1" applyBorder="1" applyAlignment="1">
      <alignment horizontal="center" vertical="center"/>
    </xf>
    <xf numFmtId="0" fontId="10" fillId="0" borderId="129" xfId="0" applyFont="1" applyBorder="1" applyAlignment="1">
      <alignment horizontal="center" vertical="center"/>
    </xf>
    <xf numFmtId="211" fontId="0" fillId="0" borderId="18" xfId="49" applyNumberFormat="1" applyFont="1" applyFill="1" applyBorder="1" applyAlignment="1">
      <alignment shrinkToFit="1"/>
    </xf>
    <xf numFmtId="211" fontId="0" fillId="0" borderId="41" xfId="49" applyNumberFormat="1" applyFont="1" applyFill="1" applyBorder="1" applyAlignment="1">
      <alignment shrinkToFit="1"/>
    </xf>
    <xf numFmtId="211" fontId="0" fillId="0" borderId="20" xfId="0" applyNumberFormat="1" applyFill="1" applyBorder="1" applyAlignment="1">
      <alignment shrinkToFit="1"/>
    </xf>
    <xf numFmtId="211" fontId="0" fillId="0" borderId="14" xfId="0" applyNumberFormat="1" applyFill="1" applyBorder="1" applyAlignment="1">
      <alignment horizontal="right" shrinkToFit="1"/>
    </xf>
    <xf numFmtId="38" fontId="0" fillId="0" borderId="14" xfId="49" applyFont="1" applyFill="1" applyBorder="1" applyAlignment="1">
      <alignment horizontal="right" shrinkToFit="1"/>
    </xf>
    <xf numFmtId="211" fontId="0" fillId="0" borderId="20" xfId="0" applyNumberFormat="1" applyFill="1" applyBorder="1" applyAlignment="1">
      <alignment horizontal="right" shrinkToFit="1"/>
    </xf>
    <xf numFmtId="211" fontId="0" fillId="0" borderId="16" xfId="0" applyNumberFormat="1" applyFill="1" applyBorder="1" applyAlignment="1">
      <alignment horizontal="right" shrinkToFit="1"/>
    </xf>
    <xf numFmtId="38" fontId="0" fillId="0" borderId="16" xfId="49" applyFont="1" applyFill="1" applyBorder="1" applyAlignment="1">
      <alignment horizontal="right" shrinkToFit="1"/>
    </xf>
    <xf numFmtId="211" fontId="0" fillId="0" borderId="43" xfId="0" applyNumberFormat="1" applyFill="1" applyBorder="1" applyAlignment="1">
      <alignment horizontal="right" shrinkToFit="1"/>
    </xf>
    <xf numFmtId="0" fontId="10" fillId="44" borderId="29" xfId="0" applyFont="1" applyFill="1" applyBorder="1" applyAlignment="1">
      <alignment/>
    </xf>
    <xf numFmtId="197" fontId="0" fillId="0" borderId="0" xfId="0" applyNumberFormat="1" applyAlignment="1">
      <alignment/>
    </xf>
    <xf numFmtId="0" fontId="21" fillId="0" borderId="42" xfId="0" applyFont="1" applyBorder="1" applyAlignment="1">
      <alignment horizontal="right"/>
    </xf>
    <xf numFmtId="0" fontId="21" fillId="0" borderId="54" xfId="0" applyFont="1" applyBorder="1" applyAlignment="1">
      <alignment horizontal="right"/>
    </xf>
    <xf numFmtId="190" fontId="93" fillId="0" borderId="0" xfId="0" applyNumberFormat="1" applyFont="1" applyAlignment="1">
      <alignment/>
    </xf>
    <xf numFmtId="0" fontId="93" fillId="3" borderId="0" xfId="0" applyFont="1" applyFill="1" applyAlignment="1">
      <alignment/>
    </xf>
    <xf numFmtId="190" fontId="10" fillId="44" borderId="14" xfId="0" applyNumberFormat="1" applyFont="1" applyFill="1" applyBorder="1" applyAlignment="1">
      <alignment/>
    </xf>
    <xf numFmtId="190" fontId="10" fillId="44" borderId="19" xfId="0" applyNumberFormat="1" applyFont="1" applyFill="1" applyBorder="1" applyAlignment="1">
      <alignment/>
    </xf>
    <xf numFmtId="0" fontId="28" fillId="44" borderId="0" xfId="0" applyFont="1" applyFill="1" applyAlignment="1">
      <alignment/>
    </xf>
    <xf numFmtId="190" fontId="95" fillId="44" borderId="14" xfId="0" applyNumberFormat="1" applyFont="1" applyFill="1" applyBorder="1" applyAlignment="1">
      <alignment/>
    </xf>
    <xf numFmtId="181" fontId="5" fillId="0" borderId="18" xfId="0" applyNumberFormat="1" applyFont="1" applyBorder="1" applyAlignment="1">
      <alignment horizontal="right"/>
    </xf>
    <xf numFmtId="0" fontId="21" fillId="45" borderId="42" xfId="0" applyFont="1" applyFill="1" applyBorder="1" applyAlignment="1">
      <alignment horizontal="center" vertical="center" wrapText="1"/>
    </xf>
    <xf numFmtId="0" fontId="21" fillId="45" borderId="18" xfId="0" applyFont="1" applyFill="1" applyBorder="1" applyAlignment="1">
      <alignment horizontal="center" vertical="center"/>
    </xf>
    <xf numFmtId="0" fontId="23" fillId="46" borderId="0" xfId="0" applyFont="1" applyFill="1" applyAlignment="1">
      <alignment horizontal="left" vertical="center" wrapText="1"/>
    </xf>
    <xf numFmtId="0" fontId="93" fillId="0" borderId="0" xfId="0" applyFont="1" applyBorder="1" applyAlignment="1">
      <alignment/>
    </xf>
    <xf numFmtId="0" fontId="29" fillId="0" borderId="51" xfId="0" applyFont="1" applyBorder="1" applyAlignment="1">
      <alignment/>
    </xf>
    <xf numFmtId="0" fontId="30" fillId="0" borderId="51" xfId="0" applyFont="1" applyBorder="1" applyAlignment="1">
      <alignment/>
    </xf>
    <xf numFmtId="0" fontId="22" fillId="45" borderId="18" xfId="0" applyFont="1" applyFill="1" applyBorder="1" applyAlignment="1">
      <alignment horizontal="distributed" vertical="center"/>
    </xf>
    <xf numFmtId="0" fontId="22" fillId="0" borderId="55" xfId="0" applyFont="1" applyBorder="1" applyAlignment="1">
      <alignment horizontal="distributed" vertical="center"/>
    </xf>
    <xf numFmtId="0" fontId="22" fillId="0" borderId="54" xfId="0" applyFont="1" applyBorder="1" applyAlignment="1">
      <alignment horizontal="right"/>
    </xf>
    <xf numFmtId="38" fontId="22" fillId="0" borderId="28" xfId="49" applyFont="1" applyBorder="1" applyAlignment="1">
      <alignment horizontal="right"/>
    </xf>
    <xf numFmtId="0" fontId="22" fillId="0" borderId="28" xfId="42" applyNumberFormat="1" applyFont="1" applyBorder="1" applyAlignment="1">
      <alignment horizontal="right"/>
    </xf>
    <xf numFmtId="185" fontId="22" fillId="0" borderId="28" xfId="0" applyNumberFormat="1" applyFont="1" applyBorder="1" applyAlignment="1">
      <alignment horizontal="right"/>
    </xf>
    <xf numFmtId="0" fontId="22" fillId="0" borderId="129" xfId="0" applyFont="1" applyBorder="1" applyAlignment="1">
      <alignment/>
    </xf>
    <xf numFmtId="38" fontId="22" fillId="47" borderId="28" xfId="49" applyFont="1" applyFill="1" applyBorder="1" applyAlignment="1">
      <alignment/>
    </xf>
    <xf numFmtId="0" fontId="22" fillId="47" borderId="14" xfId="42" applyNumberFormat="1" applyFont="1" applyFill="1" applyBorder="1" applyAlignment="1">
      <alignment horizontal="right"/>
    </xf>
    <xf numFmtId="185" fontId="22" fillId="47" borderId="28" xfId="0" applyNumberFormat="1" applyFont="1" applyFill="1" applyBorder="1" applyAlignment="1">
      <alignment horizontal="right"/>
    </xf>
    <xf numFmtId="0" fontId="22" fillId="0" borderId="48" xfId="0" applyFont="1" applyBorder="1" applyAlignment="1">
      <alignment/>
    </xf>
    <xf numFmtId="0" fontId="22" fillId="0" borderId="42" xfId="0" applyFont="1" applyBorder="1" applyAlignment="1">
      <alignment/>
    </xf>
    <xf numFmtId="0" fontId="22" fillId="0" borderId="14" xfId="0" applyFont="1" applyBorder="1" applyAlignment="1">
      <alignment horizontal="distributed" vertical="center"/>
    </xf>
    <xf numFmtId="0" fontId="22" fillId="0" borderId="14" xfId="42" applyNumberFormat="1" applyFont="1" applyBorder="1" applyAlignment="1">
      <alignment horizontal="right"/>
    </xf>
    <xf numFmtId="0" fontId="22" fillId="0" borderId="149" xfId="0" applyFont="1" applyBorder="1" applyAlignment="1">
      <alignment/>
    </xf>
    <xf numFmtId="0" fontId="22" fillId="0" borderId="0" xfId="0" applyFont="1" applyBorder="1" applyAlignment="1">
      <alignment/>
    </xf>
    <xf numFmtId="185" fontId="22" fillId="47" borderId="19" xfId="0" applyNumberFormat="1" applyFont="1" applyFill="1" applyBorder="1" applyAlignment="1">
      <alignment horizontal="right"/>
    </xf>
    <xf numFmtId="0" fontId="22" fillId="0" borderId="39" xfId="0" applyFont="1" applyBorder="1" applyAlignment="1">
      <alignment/>
    </xf>
    <xf numFmtId="38" fontId="22" fillId="47" borderId="16" xfId="49" applyFont="1" applyFill="1" applyBorder="1" applyAlignment="1">
      <alignment/>
    </xf>
    <xf numFmtId="0" fontId="22" fillId="47" borderId="16" xfId="0" applyNumberFormat="1" applyFont="1" applyFill="1" applyBorder="1" applyAlignment="1">
      <alignment horizontal="right"/>
    </xf>
    <xf numFmtId="185" fontId="22" fillId="47" borderId="133" xfId="0" applyNumberFormat="1" applyFont="1" applyFill="1" applyBorder="1" applyAlignment="1">
      <alignment horizontal="right"/>
    </xf>
    <xf numFmtId="38" fontId="22" fillId="45" borderId="18" xfId="49" applyFont="1" applyFill="1" applyBorder="1" applyAlignment="1">
      <alignment horizontal="distributed" vertical="center"/>
    </xf>
    <xf numFmtId="0" fontId="22" fillId="45" borderId="28" xfId="0" applyFont="1" applyFill="1" applyBorder="1" applyAlignment="1">
      <alignment horizontal="distributed" vertical="center" wrapText="1"/>
    </xf>
    <xf numFmtId="38" fontId="32" fillId="0" borderId="42" xfId="49" applyFont="1" applyBorder="1" applyAlignment="1">
      <alignment horizontal="right"/>
    </xf>
    <xf numFmtId="38" fontId="22" fillId="0" borderId="0" xfId="49" applyFont="1" applyAlignment="1">
      <alignment/>
    </xf>
    <xf numFmtId="197" fontId="22" fillId="0" borderId="18" xfId="42" applyNumberFormat="1" applyFont="1" applyBorder="1" applyAlignment="1">
      <alignment/>
    </xf>
    <xf numFmtId="0" fontId="22" fillId="0" borderId="129" xfId="0" applyFont="1" applyBorder="1" applyAlignment="1">
      <alignment shrinkToFit="1"/>
    </xf>
    <xf numFmtId="38" fontId="22" fillId="44" borderId="14" xfId="49" applyFont="1" applyFill="1" applyBorder="1" applyAlignment="1">
      <alignment/>
    </xf>
    <xf numFmtId="197" fontId="22" fillId="44" borderId="18" xfId="42" applyNumberFormat="1" applyFont="1" applyFill="1" applyBorder="1" applyAlignment="1">
      <alignment/>
    </xf>
    <xf numFmtId="185" fontId="22" fillId="44" borderId="28" xfId="0" applyNumberFormat="1" applyFont="1" applyFill="1" applyBorder="1" applyAlignment="1">
      <alignment horizontal="right"/>
    </xf>
    <xf numFmtId="0" fontId="22" fillId="0" borderId="48" xfId="0" applyFont="1" applyBorder="1" applyAlignment="1">
      <alignment shrinkToFit="1"/>
    </xf>
    <xf numFmtId="0" fontId="22" fillId="0" borderId="42" xfId="0" applyFont="1" applyBorder="1" applyAlignment="1">
      <alignment shrinkToFit="1"/>
    </xf>
    <xf numFmtId="0" fontId="22" fillId="0" borderId="14" xfId="0" applyFont="1" applyBorder="1" applyAlignment="1">
      <alignment horizontal="distributed" vertical="center" shrinkToFit="1"/>
    </xf>
    <xf numFmtId="38" fontId="22" fillId="0" borderId="14" xfId="49" applyFont="1" applyBorder="1" applyAlignment="1">
      <alignment/>
    </xf>
    <xf numFmtId="0" fontId="22" fillId="0" borderId="149" xfId="0" applyFont="1" applyBorder="1" applyAlignment="1">
      <alignment shrinkToFit="1"/>
    </xf>
    <xf numFmtId="0" fontId="22" fillId="0" borderId="18" xfId="0" applyFont="1" applyBorder="1" applyAlignment="1">
      <alignment shrinkToFit="1"/>
    </xf>
    <xf numFmtId="0" fontId="21" fillId="45" borderId="28" xfId="0" applyFont="1" applyFill="1" applyBorder="1" applyAlignment="1">
      <alignment horizontal="center" vertical="center" wrapText="1"/>
    </xf>
    <xf numFmtId="0" fontId="22" fillId="45" borderId="14" xfId="0" applyFont="1" applyFill="1" applyBorder="1" applyAlignment="1">
      <alignment horizontal="center"/>
    </xf>
    <xf numFmtId="0" fontId="22" fillId="0" borderId="42" xfId="0" applyFont="1" applyBorder="1" applyAlignment="1">
      <alignment horizontal="right"/>
    </xf>
    <xf numFmtId="38" fontId="22" fillId="0" borderId="18" xfId="49" applyFont="1" applyBorder="1" applyAlignment="1">
      <alignment/>
    </xf>
    <xf numFmtId="190" fontId="22" fillId="0" borderId="18" xfId="0" applyNumberFormat="1" applyFont="1" applyBorder="1" applyAlignment="1">
      <alignment/>
    </xf>
    <xf numFmtId="190" fontId="22" fillId="0" borderId="28" xfId="0" applyNumberFormat="1" applyFont="1" applyBorder="1" applyAlignment="1">
      <alignment/>
    </xf>
    <xf numFmtId="0" fontId="22" fillId="0" borderId="129" xfId="0" applyFont="1" applyBorder="1" applyAlignment="1">
      <alignment/>
    </xf>
    <xf numFmtId="38" fontId="22" fillId="44" borderId="14" xfId="49" applyFont="1" applyFill="1" applyBorder="1" applyAlignment="1">
      <alignment/>
    </xf>
    <xf numFmtId="190" fontId="22" fillId="44" borderId="14" xfId="0" applyNumberFormat="1" applyFont="1" applyFill="1" applyBorder="1" applyAlignment="1">
      <alignment/>
    </xf>
    <xf numFmtId="190" fontId="22" fillId="44" borderId="19" xfId="0" applyNumberFormat="1" applyFont="1" applyFill="1" applyBorder="1" applyAlignment="1">
      <alignment/>
    </xf>
    <xf numFmtId="0" fontId="22" fillId="0" borderId="48" xfId="0" applyFont="1" applyBorder="1" applyAlignment="1">
      <alignment/>
    </xf>
    <xf numFmtId="38" fontId="22" fillId="0" borderId="14" xfId="49" applyFont="1" applyBorder="1" applyAlignment="1">
      <alignment/>
    </xf>
    <xf numFmtId="190" fontId="22" fillId="0" borderId="14" xfId="0" applyNumberFormat="1" applyFont="1" applyBorder="1" applyAlignment="1">
      <alignment/>
    </xf>
    <xf numFmtId="38" fontId="22" fillId="0" borderId="14" xfId="49" applyFont="1" applyFill="1" applyBorder="1" applyAlignment="1">
      <alignment/>
    </xf>
    <xf numFmtId="190" fontId="22" fillId="0" borderId="19" xfId="0" applyNumberFormat="1" applyFont="1" applyBorder="1" applyAlignment="1">
      <alignment/>
    </xf>
    <xf numFmtId="0" fontId="21" fillId="0" borderId="129" xfId="0" applyFont="1" applyBorder="1" applyAlignment="1">
      <alignment/>
    </xf>
    <xf numFmtId="0" fontId="21" fillId="0" borderId="48" xfId="0" applyFont="1" applyBorder="1" applyAlignment="1">
      <alignment/>
    </xf>
    <xf numFmtId="0" fontId="22" fillId="48" borderId="48" xfId="0" applyFont="1" applyFill="1" applyBorder="1" applyAlignment="1">
      <alignment horizontal="right"/>
    </xf>
    <xf numFmtId="0" fontId="22" fillId="48" borderId="48" xfId="0" applyFont="1" applyFill="1" applyBorder="1" applyAlignment="1">
      <alignment/>
    </xf>
    <xf numFmtId="0" fontId="22" fillId="48" borderId="0" xfId="0" applyFont="1" applyFill="1" applyBorder="1" applyAlignment="1">
      <alignment horizontal="right"/>
    </xf>
    <xf numFmtId="177" fontId="22" fillId="48" borderId="27" xfId="49" applyNumberFormat="1" applyFont="1" applyFill="1" applyBorder="1" applyAlignment="1">
      <alignment horizontal="right"/>
    </xf>
    <xf numFmtId="177" fontId="22" fillId="48" borderId="27" xfId="0" applyNumberFormat="1" applyFont="1" applyFill="1" applyBorder="1" applyAlignment="1">
      <alignment/>
    </xf>
    <xf numFmtId="181" fontId="22" fillId="48" borderId="65" xfId="0" applyNumberFormat="1" applyFont="1" applyFill="1" applyBorder="1" applyAlignment="1">
      <alignment/>
    </xf>
    <xf numFmtId="177" fontId="22" fillId="0" borderId="14" xfId="49" applyNumberFormat="1" applyFont="1" applyBorder="1" applyAlignment="1">
      <alignment horizontal="right"/>
    </xf>
    <xf numFmtId="177" fontId="22" fillId="0" borderId="14" xfId="0" applyNumberFormat="1" applyFont="1" applyBorder="1" applyAlignment="1">
      <alignment/>
    </xf>
    <xf numFmtId="181" fontId="22" fillId="0" borderId="19" xfId="0" applyNumberFormat="1" applyFont="1" applyBorder="1" applyAlignment="1">
      <alignment/>
    </xf>
    <xf numFmtId="0" fontId="22" fillId="0" borderId="0" xfId="0" applyFont="1" applyBorder="1" applyAlignment="1">
      <alignment/>
    </xf>
    <xf numFmtId="0" fontId="22" fillId="0" borderId="27" xfId="0" applyFont="1" applyBorder="1" applyAlignment="1">
      <alignment/>
    </xf>
    <xf numFmtId="177" fontId="22" fillId="48" borderId="14" xfId="0" applyNumberFormat="1" applyFont="1" applyFill="1" applyBorder="1" applyAlignment="1">
      <alignment/>
    </xf>
    <xf numFmtId="181" fontId="22" fillId="48" borderId="19" xfId="0" applyNumberFormat="1" applyFont="1" applyFill="1" applyBorder="1" applyAlignment="1">
      <alignment/>
    </xf>
    <xf numFmtId="190" fontId="21" fillId="0" borderId="18" xfId="0" applyNumberFormat="1" applyFont="1" applyBorder="1" applyAlignment="1">
      <alignment/>
    </xf>
    <xf numFmtId="0" fontId="21" fillId="0" borderId="18" xfId="0" applyFont="1" applyBorder="1" applyAlignment="1">
      <alignment/>
    </xf>
    <xf numFmtId="0" fontId="21" fillId="44" borderId="29" xfId="0" applyFont="1" applyFill="1" applyBorder="1" applyAlignment="1">
      <alignment/>
    </xf>
    <xf numFmtId="0" fontId="21" fillId="44" borderId="14" xfId="0" applyFont="1" applyFill="1" applyBorder="1" applyAlignment="1">
      <alignment/>
    </xf>
    <xf numFmtId="0" fontId="21" fillId="0" borderId="14" xfId="0" applyFont="1" applyBorder="1" applyAlignment="1">
      <alignment/>
    </xf>
    <xf numFmtId="0" fontId="21" fillId="45" borderId="27" xfId="0" applyFont="1" applyFill="1" applyBorder="1" applyAlignment="1">
      <alignment horizontal="center" vertical="center" wrapText="1"/>
    </xf>
    <xf numFmtId="0" fontId="23" fillId="0" borderId="42" xfId="0" applyFont="1" applyBorder="1" applyAlignment="1">
      <alignment horizontal="right"/>
    </xf>
    <xf numFmtId="0" fontId="23" fillId="0" borderId="54" xfId="0" applyFont="1" applyBorder="1" applyAlignment="1">
      <alignment horizontal="right"/>
    </xf>
    <xf numFmtId="0" fontId="33" fillId="0" borderId="0" xfId="0" applyFont="1" applyAlignment="1">
      <alignment/>
    </xf>
    <xf numFmtId="0" fontId="21" fillId="44" borderId="31" xfId="0" applyFont="1" applyFill="1" applyBorder="1" applyAlignment="1">
      <alignment/>
    </xf>
    <xf numFmtId="177" fontId="22" fillId="49" borderId="14" xfId="49" applyNumberFormat="1" applyFont="1" applyFill="1" applyBorder="1" applyAlignment="1">
      <alignment horizontal="right"/>
    </xf>
    <xf numFmtId="0" fontId="21" fillId="0" borderId="42" xfId="0" applyFont="1" applyBorder="1" applyAlignment="1">
      <alignment/>
    </xf>
    <xf numFmtId="38" fontId="21" fillId="0" borderId="18" xfId="49" applyFont="1" applyBorder="1" applyAlignment="1">
      <alignment/>
    </xf>
    <xf numFmtId="0" fontId="21" fillId="0" borderId="18" xfId="0" applyFont="1" applyBorder="1" applyAlignment="1">
      <alignment horizontal="right"/>
    </xf>
    <xf numFmtId="210" fontId="21" fillId="0" borderId="28" xfId="0" applyNumberFormat="1" applyFont="1" applyBorder="1" applyAlignment="1">
      <alignment horizontal="right"/>
    </xf>
    <xf numFmtId="38" fontId="21" fillId="44" borderId="14" xfId="49" applyFont="1" applyFill="1" applyBorder="1" applyAlignment="1">
      <alignment/>
    </xf>
    <xf numFmtId="187" fontId="21" fillId="44" borderId="14" xfId="0" applyNumberFormat="1" applyFont="1" applyFill="1" applyBorder="1" applyAlignment="1">
      <alignment/>
    </xf>
    <xf numFmtId="38" fontId="21" fillId="0" borderId="14" xfId="49" applyFont="1" applyBorder="1" applyAlignment="1">
      <alignment/>
    </xf>
    <xf numFmtId="187" fontId="21" fillId="0" borderId="14" xfId="0" applyNumberFormat="1" applyFont="1" applyBorder="1" applyAlignment="1">
      <alignment/>
    </xf>
    <xf numFmtId="0" fontId="21" fillId="0" borderId="149" xfId="0" applyFont="1" applyBorder="1" applyAlignment="1">
      <alignment/>
    </xf>
    <xf numFmtId="0" fontId="23" fillId="0" borderId="129" xfId="0" applyFont="1" applyBorder="1" applyAlignment="1">
      <alignment shrinkToFit="1"/>
    </xf>
    <xf numFmtId="0" fontId="23" fillId="0" borderId="48" xfId="0" applyFont="1" applyBorder="1" applyAlignment="1">
      <alignment shrinkToFit="1"/>
    </xf>
    <xf numFmtId="0" fontId="23" fillId="0" borderId="42" xfId="0" applyFont="1" applyBorder="1" applyAlignment="1">
      <alignment shrinkToFit="1"/>
    </xf>
    <xf numFmtId="0" fontId="23" fillId="0" borderId="149" xfId="0" applyFont="1" applyBorder="1" applyAlignment="1">
      <alignment shrinkToFit="1"/>
    </xf>
    <xf numFmtId="0" fontId="23" fillId="0" borderId="0" xfId="0" applyFont="1" applyBorder="1" applyAlignment="1">
      <alignment shrinkToFit="1"/>
    </xf>
    <xf numFmtId="0" fontId="23" fillId="0" borderId="143" xfId="0" applyFont="1" applyBorder="1" applyAlignment="1">
      <alignment shrinkToFit="1"/>
    </xf>
    <xf numFmtId="0" fontId="23" fillId="0" borderId="14" xfId="0" applyFont="1" applyBorder="1" applyAlignment="1">
      <alignment horizontal="center" shrinkToFit="1"/>
    </xf>
    <xf numFmtId="0" fontId="23" fillId="0" borderId="18" xfId="0" applyFont="1" applyBorder="1" applyAlignment="1">
      <alignment shrinkToFit="1"/>
    </xf>
    <xf numFmtId="0" fontId="94" fillId="0" borderId="0" xfId="0" applyFont="1" applyBorder="1" applyAlignment="1">
      <alignment/>
    </xf>
    <xf numFmtId="0" fontId="94" fillId="0" borderId="156" xfId="0" applyFont="1" applyBorder="1" applyAlignment="1">
      <alignment/>
    </xf>
    <xf numFmtId="0" fontId="0" fillId="0" borderId="156" xfId="0" applyBorder="1" applyAlignment="1">
      <alignment/>
    </xf>
    <xf numFmtId="38" fontId="21" fillId="44" borderId="157" xfId="49" applyFont="1" applyFill="1" applyBorder="1" applyAlignment="1">
      <alignment/>
    </xf>
    <xf numFmtId="187" fontId="21" fillId="44" borderId="157" xfId="0" applyNumberFormat="1" applyFont="1" applyFill="1" applyBorder="1" applyAlignment="1">
      <alignment/>
    </xf>
    <xf numFmtId="0" fontId="21" fillId="44" borderId="157" xfId="0" applyFont="1" applyFill="1" applyBorder="1" applyAlignment="1">
      <alignment/>
    </xf>
    <xf numFmtId="210" fontId="21" fillId="0" borderId="158" xfId="0" applyNumberFormat="1" applyFont="1" applyBorder="1" applyAlignment="1">
      <alignment horizontal="right"/>
    </xf>
    <xf numFmtId="0" fontId="23" fillId="0" borderId="159" xfId="0" applyFont="1" applyBorder="1" applyAlignment="1">
      <alignment shrinkToFit="1"/>
    </xf>
    <xf numFmtId="0" fontId="21" fillId="0" borderId="159" xfId="0" applyFont="1" applyBorder="1" applyAlignment="1">
      <alignment/>
    </xf>
    <xf numFmtId="0" fontId="21" fillId="0" borderId="14" xfId="0" applyFont="1" applyBorder="1" applyAlignment="1">
      <alignment horizontal="left" vertical="center"/>
    </xf>
    <xf numFmtId="0" fontId="21" fillId="0" borderId="14" xfId="0" applyFont="1" applyBorder="1" applyAlignment="1">
      <alignment horizontal="left"/>
    </xf>
    <xf numFmtId="0" fontId="21" fillId="45" borderId="160" xfId="0" applyFont="1" applyFill="1" applyBorder="1" applyAlignment="1">
      <alignment horizontal="center"/>
    </xf>
    <xf numFmtId="0" fontId="21" fillId="0" borderId="129" xfId="0" applyFont="1" applyBorder="1" applyAlignment="1">
      <alignment horizontal="right"/>
    </xf>
    <xf numFmtId="211" fontId="21" fillId="0" borderId="27" xfId="49" applyNumberFormat="1" applyFont="1" applyBorder="1" applyAlignment="1">
      <alignment horizontal="right" shrinkToFit="1"/>
    </xf>
    <xf numFmtId="211" fontId="21" fillId="44" borderId="27" xfId="49" applyNumberFormat="1" applyFont="1" applyFill="1" applyBorder="1" applyAlignment="1">
      <alignment horizontal="right" shrinkToFit="1"/>
    </xf>
    <xf numFmtId="211" fontId="21" fillId="44" borderId="159" xfId="49" applyNumberFormat="1" applyFont="1" applyFill="1" applyBorder="1" applyAlignment="1">
      <alignment horizontal="right" shrinkToFit="1"/>
    </xf>
    <xf numFmtId="0" fontId="21" fillId="0" borderId="161" xfId="0" applyFont="1" applyBorder="1" applyAlignment="1">
      <alignment horizontal="right"/>
    </xf>
    <xf numFmtId="38" fontId="21" fillId="0" borderId="162" xfId="49" applyFont="1" applyBorder="1" applyAlignment="1">
      <alignment shrinkToFit="1"/>
    </xf>
    <xf numFmtId="38" fontId="21" fillId="44" borderId="163" xfId="49" applyFont="1" applyFill="1" applyBorder="1" applyAlignment="1">
      <alignment shrinkToFit="1"/>
    </xf>
    <xf numFmtId="38" fontId="21" fillId="0" borderId="163" xfId="49" applyFont="1" applyFill="1" applyBorder="1" applyAlignment="1">
      <alignment shrinkToFit="1"/>
    </xf>
    <xf numFmtId="38" fontId="21" fillId="44" borderId="164" xfId="49" applyFont="1" applyFill="1" applyBorder="1" applyAlignment="1">
      <alignment shrinkToFit="1"/>
    </xf>
    <xf numFmtId="211" fontId="21" fillId="44" borderId="29" xfId="0" applyNumberFormat="1" applyFont="1" applyFill="1" applyBorder="1" applyAlignment="1">
      <alignment shrinkToFit="1"/>
    </xf>
    <xf numFmtId="211" fontId="21" fillId="0" borderId="29" xfId="0" applyNumberFormat="1" applyFont="1" applyFill="1" applyBorder="1" applyAlignment="1">
      <alignment shrinkToFit="1"/>
    </xf>
    <xf numFmtId="211" fontId="21" fillId="44" borderId="165" xfId="0" applyNumberFormat="1" applyFont="1" applyFill="1" applyBorder="1" applyAlignment="1">
      <alignment shrinkToFit="1"/>
    </xf>
    <xf numFmtId="0" fontId="21" fillId="45" borderId="166" xfId="0" applyFont="1" applyFill="1" applyBorder="1" applyAlignment="1">
      <alignment horizontal="center"/>
    </xf>
    <xf numFmtId="0" fontId="21" fillId="0" borderId="55" xfId="0" applyFont="1" applyBorder="1" applyAlignment="1">
      <alignment horizontal="right"/>
    </xf>
    <xf numFmtId="211" fontId="21" fillId="0" borderId="65" xfId="49" applyNumberFormat="1" applyFont="1" applyBorder="1" applyAlignment="1">
      <alignment horizontal="right" shrinkToFit="1"/>
    </xf>
    <xf numFmtId="211" fontId="21" fillId="44" borderId="31" xfId="0" applyNumberFormat="1" applyFont="1" applyFill="1" applyBorder="1" applyAlignment="1">
      <alignment horizontal="right" shrinkToFit="1"/>
    </xf>
    <xf numFmtId="211" fontId="21" fillId="0" borderId="31" xfId="0" applyNumberFormat="1" applyFont="1" applyBorder="1" applyAlignment="1">
      <alignment horizontal="right" shrinkToFit="1"/>
    </xf>
    <xf numFmtId="211" fontId="21" fillId="44" borderId="167" xfId="0" applyNumberFormat="1" applyFont="1" applyFill="1" applyBorder="1" applyAlignment="1">
      <alignment horizontal="right" shrinkToFit="1"/>
    </xf>
    <xf numFmtId="0" fontId="21" fillId="45" borderId="162" xfId="0" applyFont="1" applyFill="1" applyBorder="1" applyAlignment="1">
      <alignment/>
    </xf>
    <xf numFmtId="0" fontId="21" fillId="45" borderId="162" xfId="0" applyFont="1" applyFill="1" applyBorder="1" applyAlignment="1">
      <alignment horizontal="center"/>
    </xf>
    <xf numFmtId="0" fontId="22" fillId="0" borderId="159" xfId="0" applyFont="1" applyBorder="1" applyAlignment="1">
      <alignment/>
    </xf>
    <xf numFmtId="38" fontId="22" fillId="44" borderId="157" xfId="49" applyFont="1" applyFill="1" applyBorder="1" applyAlignment="1">
      <alignment/>
    </xf>
    <xf numFmtId="190" fontId="22" fillId="44" borderId="157" xfId="0" applyNumberFormat="1" applyFont="1" applyFill="1" applyBorder="1" applyAlignment="1">
      <alignment/>
    </xf>
    <xf numFmtId="190" fontId="22" fillId="44" borderId="158" xfId="0" applyNumberFormat="1" applyFont="1" applyFill="1" applyBorder="1" applyAlignment="1">
      <alignment/>
    </xf>
    <xf numFmtId="0" fontId="23" fillId="46" borderId="0" xfId="0" applyFont="1" applyFill="1" applyBorder="1" applyAlignment="1">
      <alignment horizontal="left" vertical="center"/>
    </xf>
    <xf numFmtId="0" fontId="0" fillId="0" borderId="0" xfId="0" applyAlignment="1">
      <alignment horizontal="left"/>
    </xf>
    <xf numFmtId="0" fontId="93" fillId="0" borderId="156" xfId="0" applyFont="1" applyBorder="1" applyAlignment="1">
      <alignment/>
    </xf>
    <xf numFmtId="0" fontId="21" fillId="45" borderId="42" xfId="0" applyFont="1" applyFill="1" applyBorder="1" applyAlignment="1">
      <alignment horizontal="center" vertical="center"/>
    </xf>
    <xf numFmtId="0" fontId="21" fillId="50" borderId="42" xfId="0" applyFont="1" applyFill="1" applyBorder="1" applyAlignment="1">
      <alignment horizontal="center" vertical="center"/>
    </xf>
    <xf numFmtId="0" fontId="21" fillId="45" borderId="48" xfId="0" applyFont="1" applyFill="1" applyBorder="1" applyAlignment="1">
      <alignment/>
    </xf>
    <xf numFmtId="0" fontId="21" fillId="45" borderId="48" xfId="0" applyFont="1" applyFill="1" applyBorder="1" applyAlignment="1">
      <alignment horizontal="left"/>
    </xf>
    <xf numFmtId="0" fontId="21" fillId="45" borderId="48" xfId="0" applyFont="1" applyFill="1" applyBorder="1" applyAlignment="1">
      <alignment horizontal="right"/>
    </xf>
    <xf numFmtId="0" fontId="21" fillId="0" borderId="29" xfId="0" applyFont="1" applyFill="1" applyBorder="1" applyAlignment="1">
      <alignment horizontal="right"/>
    </xf>
    <xf numFmtId="0" fontId="34" fillId="0" borderId="165" xfId="0" applyFont="1" applyFill="1" applyBorder="1" applyAlignment="1">
      <alignment horizontal="right"/>
    </xf>
    <xf numFmtId="38" fontId="21" fillId="0" borderId="14" xfId="49" applyFont="1" applyFill="1" applyBorder="1" applyAlignment="1">
      <alignment/>
    </xf>
    <xf numFmtId="38" fontId="34" fillId="0" borderId="157" xfId="49" applyFont="1" applyFill="1" applyBorder="1" applyAlignment="1">
      <alignment/>
    </xf>
    <xf numFmtId="185" fontId="21" fillId="0" borderId="14" xfId="0" applyNumberFormat="1" applyFont="1" applyFill="1" applyBorder="1" applyAlignment="1">
      <alignment/>
    </xf>
    <xf numFmtId="185" fontId="34" fillId="0" borderId="157" xfId="0" applyNumberFormat="1" applyFont="1" applyFill="1" applyBorder="1" applyAlignment="1">
      <alignment/>
    </xf>
    <xf numFmtId="185" fontId="21" fillId="0" borderId="19" xfId="0" applyNumberFormat="1" applyFont="1" applyFill="1" applyBorder="1" applyAlignment="1">
      <alignment/>
    </xf>
    <xf numFmtId="190" fontId="34" fillId="0" borderId="158" xfId="0" applyNumberFormat="1" applyFont="1" applyFill="1" applyBorder="1" applyAlignment="1">
      <alignment/>
    </xf>
    <xf numFmtId="0" fontId="35" fillId="0" borderId="0" xfId="0" applyFont="1" applyAlignment="1">
      <alignment/>
    </xf>
    <xf numFmtId="0" fontId="21" fillId="50" borderId="54" xfId="0" applyFont="1" applyFill="1" applyBorder="1" applyAlignment="1">
      <alignment horizontal="center" vertical="center" wrapText="1"/>
    </xf>
    <xf numFmtId="0" fontId="35" fillId="0" borderId="0" xfId="0" applyFont="1" applyBorder="1" applyAlignment="1">
      <alignment/>
    </xf>
    <xf numFmtId="0" fontId="21" fillId="45" borderId="149" xfId="0" applyFont="1" applyFill="1" applyBorder="1" applyAlignment="1">
      <alignment horizontal="center"/>
    </xf>
    <xf numFmtId="0" fontId="21" fillId="50" borderId="149" xfId="0" applyFont="1" applyFill="1" applyBorder="1" applyAlignment="1">
      <alignment horizontal="center"/>
    </xf>
    <xf numFmtId="0" fontId="21" fillId="50" borderId="143" xfId="0" applyFont="1" applyFill="1" applyBorder="1" applyAlignment="1">
      <alignment horizontal="center"/>
    </xf>
    <xf numFmtId="0" fontId="5" fillId="45" borderId="0" xfId="0" applyFont="1" applyFill="1" applyBorder="1" applyAlignment="1">
      <alignment horizontal="left"/>
    </xf>
    <xf numFmtId="0" fontId="5" fillId="45" borderId="48" xfId="0" applyFont="1" applyFill="1" applyBorder="1" applyAlignment="1">
      <alignment horizontal="left"/>
    </xf>
    <xf numFmtId="0" fontId="5" fillId="45" borderId="51" xfId="0" applyFont="1" applyFill="1" applyBorder="1" applyAlignment="1">
      <alignment horizontal="left" vertical="top"/>
    </xf>
    <xf numFmtId="0" fontId="5" fillId="45" borderId="39" xfId="0" applyFont="1" applyFill="1" applyBorder="1" applyAlignment="1">
      <alignment horizontal="left"/>
    </xf>
    <xf numFmtId="38" fontId="8" fillId="50" borderId="16" xfId="49" applyFont="1" applyFill="1" applyBorder="1" applyAlignment="1">
      <alignment horizontal="distributed" vertical="center"/>
    </xf>
    <xf numFmtId="38" fontId="5" fillId="0" borderId="57" xfId="49" applyFont="1" applyBorder="1" applyAlignment="1">
      <alignment horizontal="right" vertical="center"/>
    </xf>
    <xf numFmtId="38" fontId="5" fillId="0" borderId="57" xfId="49" applyFont="1" applyFill="1" applyBorder="1" applyAlignment="1">
      <alignment horizontal="right" vertical="center"/>
    </xf>
    <xf numFmtId="38" fontId="5" fillId="0" borderId="44" xfId="49" applyFont="1" applyBorder="1" applyAlignment="1">
      <alignment horizontal="right" vertical="center"/>
    </xf>
    <xf numFmtId="181" fontId="5" fillId="0" borderId="18" xfId="49" applyNumberFormat="1" applyFont="1" applyBorder="1" applyAlignment="1">
      <alignment horizontal="right"/>
    </xf>
    <xf numFmtId="181" fontId="5" fillId="0" borderId="28" xfId="49" applyNumberFormat="1" applyFont="1" applyBorder="1" applyAlignment="1">
      <alignment horizontal="right"/>
    </xf>
    <xf numFmtId="181" fontId="5" fillId="47" borderId="14" xfId="49" applyNumberFormat="1" applyFont="1" applyFill="1" applyBorder="1" applyAlignment="1">
      <alignment horizontal="right"/>
    </xf>
    <xf numFmtId="181" fontId="5" fillId="47" borderId="19" xfId="49" applyNumberFormat="1" applyFont="1" applyFill="1" applyBorder="1" applyAlignment="1">
      <alignment horizontal="right"/>
    </xf>
    <xf numFmtId="0" fontId="5" fillId="0" borderId="129" xfId="0" applyFont="1" applyBorder="1" applyAlignment="1">
      <alignment/>
    </xf>
    <xf numFmtId="181" fontId="5" fillId="0" borderId="14" xfId="49" applyNumberFormat="1" applyFont="1" applyFill="1" applyBorder="1" applyAlignment="1">
      <alignment horizontal="right"/>
    </xf>
    <xf numFmtId="181" fontId="5" fillId="0" borderId="14" xfId="49" applyNumberFormat="1" applyFont="1" applyBorder="1" applyAlignment="1">
      <alignment horizontal="right"/>
    </xf>
    <xf numFmtId="181" fontId="5" fillId="0" borderId="19" xfId="49" applyNumberFormat="1" applyFont="1" applyBorder="1" applyAlignment="1">
      <alignment horizontal="right"/>
    </xf>
    <xf numFmtId="0" fontId="5" fillId="0" borderId="48" xfId="0" applyFont="1" applyBorder="1" applyAlignment="1">
      <alignment/>
    </xf>
    <xf numFmtId="0" fontId="5" fillId="0" borderId="27" xfId="0" applyFont="1" applyBorder="1" applyAlignment="1">
      <alignment/>
    </xf>
    <xf numFmtId="181" fontId="5" fillId="0" borderId="19" xfId="49" applyNumberFormat="1" applyFont="1" applyFill="1" applyBorder="1" applyAlignment="1">
      <alignment horizontal="right"/>
    </xf>
    <xf numFmtId="181" fontId="5" fillId="47" borderId="42" xfId="49" applyNumberFormat="1" applyFont="1" applyFill="1" applyBorder="1" applyAlignment="1">
      <alignment horizontal="right"/>
    </xf>
    <xf numFmtId="181" fontId="5" fillId="47" borderId="54" xfId="49" applyNumberFormat="1" applyFont="1" applyFill="1" applyBorder="1" applyAlignment="1">
      <alignment horizontal="right"/>
    </xf>
    <xf numFmtId="181" fontId="5" fillId="0" borderId="42" xfId="49" applyNumberFormat="1" applyFont="1" applyBorder="1" applyAlignment="1">
      <alignment horizontal="right"/>
    </xf>
    <xf numFmtId="0" fontId="5" fillId="45" borderId="48" xfId="0" applyFont="1" applyFill="1" applyBorder="1" applyAlignment="1">
      <alignment horizontal="right"/>
    </xf>
    <xf numFmtId="181" fontId="5" fillId="0" borderId="157" xfId="49" applyNumberFormat="1" applyFont="1" applyBorder="1" applyAlignment="1">
      <alignment horizontal="right"/>
    </xf>
    <xf numFmtId="181" fontId="5" fillId="0" borderId="158" xfId="49" applyNumberFormat="1" applyFont="1" applyBorder="1" applyAlignment="1">
      <alignment horizontal="right"/>
    </xf>
    <xf numFmtId="0" fontId="5" fillId="0" borderId="157" xfId="0" applyFont="1" applyBorder="1" applyAlignment="1">
      <alignment horizontal="distributed" vertical="center"/>
    </xf>
    <xf numFmtId="38" fontId="5" fillId="0" borderId="157" xfId="49" applyFont="1" applyBorder="1" applyAlignment="1">
      <alignment/>
    </xf>
    <xf numFmtId="38" fontId="5" fillId="0" borderId="157" xfId="0" applyNumberFormat="1" applyFont="1" applyBorder="1" applyAlignment="1">
      <alignment/>
    </xf>
    <xf numFmtId="181" fontId="5" fillId="0" borderId="157" xfId="0" applyNumberFormat="1" applyFont="1" applyBorder="1" applyAlignment="1">
      <alignment/>
    </xf>
    <xf numFmtId="190" fontId="5" fillId="0" borderId="157" xfId="0" applyNumberFormat="1" applyFont="1" applyBorder="1" applyAlignment="1">
      <alignment/>
    </xf>
    <xf numFmtId="197" fontId="5" fillId="0" borderId="158" xfId="0" applyNumberFormat="1" applyFont="1" applyBorder="1" applyAlignment="1">
      <alignment/>
    </xf>
    <xf numFmtId="0" fontId="21" fillId="44" borderId="165" xfId="0" applyFont="1" applyFill="1" applyBorder="1" applyAlignment="1">
      <alignment/>
    </xf>
    <xf numFmtId="0" fontId="22" fillId="45" borderId="168" xfId="0" applyFont="1" applyFill="1" applyBorder="1" applyAlignment="1">
      <alignment horizontal="center" vertical="center" wrapText="1"/>
    </xf>
    <xf numFmtId="0" fontId="21" fillId="45" borderId="169" xfId="0" applyFont="1" applyFill="1" applyBorder="1" applyAlignment="1">
      <alignment horizontal="center" vertical="center"/>
    </xf>
    <xf numFmtId="0" fontId="23" fillId="45" borderId="65" xfId="0" applyFont="1" applyFill="1" applyBorder="1" applyAlignment="1">
      <alignment horizontal="center" vertical="center" wrapText="1"/>
    </xf>
    <xf numFmtId="177" fontId="22" fillId="49" borderId="157" xfId="49" applyNumberFormat="1" applyFont="1" applyFill="1" applyBorder="1" applyAlignment="1">
      <alignment horizontal="right"/>
    </xf>
    <xf numFmtId="177" fontId="22" fillId="48" borderId="165" xfId="0" applyNumberFormat="1" applyFont="1" applyFill="1" applyBorder="1" applyAlignment="1">
      <alignment/>
    </xf>
    <xf numFmtId="181" fontId="22" fillId="48" borderId="167" xfId="0" applyNumberFormat="1" applyFont="1" applyFill="1" applyBorder="1" applyAlignment="1">
      <alignment/>
    </xf>
    <xf numFmtId="0" fontId="21" fillId="45" borderId="28" xfId="0" applyFont="1" applyFill="1" applyBorder="1" applyAlignment="1">
      <alignment shrinkToFit="1"/>
    </xf>
    <xf numFmtId="0" fontId="21" fillId="45" borderId="170" xfId="0" applyFont="1" applyFill="1" applyBorder="1" applyAlignment="1">
      <alignment shrinkToFit="1"/>
    </xf>
    <xf numFmtId="0" fontId="21" fillId="45" borderId="47" xfId="0" applyFont="1" applyFill="1" applyBorder="1" applyAlignment="1">
      <alignment shrinkToFit="1"/>
    </xf>
    <xf numFmtId="0" fontId="21" fillId="45" borderId="29" xfId="0" applyFont="1" applyFill="1" applyBorder="1" applyAlignment="1">
      <alignment shrinkToFit="1"/>
    </xf>
    <xf numFmtId="0" fontId="21" fillId="45" borderId="31" xfId="0" applyFont="1" applyFill="1" applyBorder="1" applyAlignment="1">
      <alignment shrinkToFit="1"/>
    </xf>
    <xf numFmtId="0" fontId="21" fillId="0" borderId="29" xfId="0" applyFont="1" applyBorder="1" applyAlignment="1">
      <alignment horizontal="distributed" vertical="center" shrinkToFit="1"/>
    </xf>
    <xf numFmtId="0" fontId="21" fillId="0" borderId="111" xfId="0" applyFont="1" applyBorder="1" applyAlignment="1">
      <alignment horizontal="right" shrinkToFit="1"/>
    </xf>
    <xf numFmtId="0" fontId="21" fillId="0" borderId="129" xfId="0" applyFont="1" applyBorder="1" applyAlignment="1">
      <alignment horizontal="right" shrinkToFit="1"/>
    </xf>
    <xf numFmtId="0" fontId="21" fillId="0" borderId="55" xfId="0" applyFont="1" applyBorder="1" applyAlignment="1">
      <alignment horizontal="right" shrinkToFit="1"/>
    </xf>
    <xf numFmtId="38" fontId="21" fillId="0" borderId="171" xfId="49" applyFont="1" applyBorder="1" applyAlignment="1">
      <alignment shrinkToFit="1"/>
    </xf>
    <xf numFmtId="190" fontId="21" fillId="0" borderId="27" xfId="0" applyNumberFormat="1" applyFont="1" applyBorder="1" applyAlignment="1">
      <alignment shrinkToFit="1"/>
    </xf>
    <xf numFmtId="38" fontId="21" fillId="0" borderId="171" xfId="0" applyNumberFormat="1" applyFont="1" applyBorder="1" applyAlignment="1">
      <alignment shrinkToFit="1"/>
    </xf>
    <xf numFmtId="197" fontId="21" fillId="0" borderId="27" xfId="0" applyNumberFormat="1" applyFont="1" applyBorder="1" applyAlignment="1">
      <alignment shrinkToFit="1"/>
    </xf>
    <xf numFmtId="0" fontId="21" fillId="0" borderId="171" xfId="0" applyFont="1" applyBorder="1" applyAlignment="1">
      <alignment shrinkToFit="1"/>
    </xf>
    <xf numFmtId="197" fontId="21" fillId="0" borderId="65" xfId="0" applyNumberFormat="1" applyFont="1" applyBorder="1" applyAlignment="1">
      <alignment horizontal="center" vertical="center" shrinkToFit="1"/>
    </xf>
    <xf numFmtId="0" fontId="21" fillId="0" borderId="129" xfId="0" applyFont="1" applyBorder="1" applyAlignment="1">
      <alignment shrinkToFit="1"/>
    </xf>
    <xf numFmtId="38" fontId="21" fillId="0" borderId="47" xfId="49" applyFont="1" applyBorder="1" applyAlignment="1">
      <alignment shrinkToFit="1"/>
    </xf>
    <xf numFmtId="0" fontId="21" fillId="0" borderId="47" xfId="0" applyFont="1" applyBorder="1" applyAlignment="1">
      <alignment shrinkToFit="1"/>
    </xf>
    <xf numFmtId="0" fontId="21" fillId="0" borderId="48" xfId="0" applyFont="1" applyBorder="1" applyAlignment="1">
      <alignment shrinkToFit="1"/>
    </xf>
    <xf numFmtId="197" fontId="21" fillId="0" borderId="29" xfId="0" applyNumberFormat="1" applyFont="1" applyBorder="1" applyAlignment="1">
      <alignment shrinkToFit="1"/>
    </xf>
    <xf numFmtId="38" fontId="21" fillId="0" borderId="47" xfId="49" applyFont="1" applyFill="1" applyBorder="1" applyAlignment="1">
      <alignment shrinkToFit="1"/>
    </xf>
    <xf numFmtId="0" fontId="21" fillId="0" borderId="159" xfId="0" applyFont="1" applyBorder="1" applyAlignment="1">
      <alignment shrinkToFit="1"/>
    </xf>
    <xf numFmtId="38" fontId="21" fillId="0" borderId="172" xfId="49" applyFont="1" applyBorder="1" applyAlignment="1">
      <alignment shrinkToFit="1"/>
    </xf>
    <xf numFmtId="197" fontId="21" fillId="0" borderId="165" xfId="0" applyNumberFormat="1" applyFont="1" applyBorder="1" applyAlignment="1">
      <alignment shrinkToFit="1"/>
    </xf>
    <xf numFmtId="0" fontId="21" fillId="0" borderId="172" xfId="0" applyFont="1" applyBorder="1" applyAlignment="1">
      <alignment shrinkToFit="1"/>
    </xf>
    <xf numFmtId="197" fontId="21" fillId="0" borderId="156" xfId="0" applyNumberFormat="1" applyFont="1" applyBorder="1" applyAlignment="1">
      <alignment horizontal="center" vertical="center" shrinkToFit="1"/>
    </xf>
    <xf numFmtId="0" fontId="21" fillId="0" borderId="14" xfId="0" applyFont="1" applyBorder="1" applyAlignment="1">
      <alignment horizontal="distributed" shrinkToFit="1"/>
    </xf>
    <xf numFmtId="0" fontId="22" fillId="45" borderId="19" xfId="0" applyFont="1" applyFill="1" applyBorder="1" applyAlignment="1">
      <alignment horizontal="center"/>
    </xf>
    <xf numFmtId="38" fontId="22" fillId="0" borderId="18" xfId="49" applyFont="1" applyBorder="1" applyAlignment="1">
      <alignment/>
    </xf>
    <xf numFmtId="190" fontId="22" fillId="0" borderId="18" xfId="0" applyNumberFormat="1" applyFont="1" applyBorder="1" applyAlignment="1">
      <alignment/>
    </xf>
    <xf numFmtId="190" fontId="22" fillId="0" borderId="28" xfId="0" applyNumberFormat="1" applyFont="1" applyBorder="1" applyAlignment="1">
      <alignment/>
    </xf>
    <xf numFmtId="0" fontId="22" fillId="0" borderId="14" xfId="0" applyFont="1" applyBorder="1" applyAlignment="1">
      <alignment horizontal="distributed"/>
    </xf>
    <xf numFmtId="190" fontId="22" fillId="0" borderId="18" xfId="0" applyNumberFormat="1" applyFont="1" applyBorder="1" applyAlignment="1">
      <alignment horizontal="right"/>
    </xf>
    <xf numFmtId="38" fontId="22" fillId="0" borderId="141" xfId="49" applyFont="1" applyBorder="1" applyAlignment="1">
      <alignment/>
    </xf>
    <xf numFmtId="190" fontId="22" fillId="0" borderId="173" xfId="0" applyNumberFormat="1" applyFont="1" applyBorder="1" applyAlignment="1">
      <alignment/>
    </xf>
    <xf numFmtId="0" fontId="22" fillId="0" borderId="157" xfId="0" applyFont="1" applyBorder="1" applyAlignment="1">
      <alignment horizontal="distributed"/>
    </xf>
    <xf numFmtId="38" fontId="22" fillId="0" borderId="157" xfId="49" applyFont="1" applyBorder="1" applyAlignment="1">
      <alignment/>
    </xf>
    <xf numFmtId="190" fontId="22" fillId="0" borderId="157" xfId="0" applyNumberFormat="1" applyFont="1" applyBorder="1" applyAlignment="1">
      <alignment/>
    </xf>
    <xf numFmtId="38" fontId="22" fillId="0" borderId="174" xfId="49" applyFont="1" applyBorder="1" applyAlignment="1">
      <alignment/>
    </xf>
    <xf numFmtId="190" fontId="22" fillId="0" borderId="175" xfId="0" applyNumberFormat="1" applyFont="1" applyBorder="1" applyAlignment="1">
      <alignment/>
    </xf>
    <xf numFmtId="0" fontId="23" fillId="0" borderId="157" xfId="0" applyFont="1" applyBorder="1" applyAlignment="1">
      <alignment horizontal="distributed" shrinkToFit="1"/>
    </xf>
    <xf numFmtId="0" fontId="22" fillId="0" borderId="42" xfId="0" applyFont="1" applyBorder="1" applyAlignment="1">
      <alignment horizontal="distributed" vertical="center" shrinkToFit="1"/>
    </xf>
    <xf numFmtId="38" fontId="22" fillId="44" borderId="42" xfId="49" applyFont="1" applyFill="1" applyBorder="1" applyAlignment="1">
      <alignment/>
    </xf>
    <xf numFmtId="0" fontId="22" fillId="0" borderId="159" xfId="0" applyFont="1" applyBorder="1" applyAlignment="1">
      <alignment shrinkToFit="1"/>
    </xf>
    <xf numFmtId="0" fontId="22" fillId="0" borderId="176" xfId="0" applyFont="1" applyBorder="1" applyAlignment="1">
      <alignment horizontal="center" vertical="center" shrinkToFit="1"/>
    </xf>
    <xf numFmtId="0" fontId="21" fillId="0" borderId="165" xfId="0" applyFont="1" applyBorder="1" applyAlignment="1">
      <alignment horizontal="center" vertical="center" shrinkToFit="1"/>
    </xf>
    <xf numFmtId="197" fontId="22" fillId="0" borderId="176" xfId="42" applyNumberFormat="1" applyFont="1" applyBorder="1" applyAlignment="1">
      <alignment/>
    </xf>
    <xf numFmtId="185" fontId="22" fillId="0" borderId="158" xfId="0" applyNumberFormat="1" applyFont="1" applyBorder="1" applyAlignment="1">
      <alignment horizontal="right"/>
    </xf>
    <xf numFmtId="0" fontId="31" fillId="0" borderId="156" xfId="0" applyFont="1" applyBorder="1" applyAlignment="1">
      <alignment/>
    </xf>
    <xf numFmtId="0" fontId="30" fillId="0" borderId="156" xfId="0" applyFont="1" applyBorder="1" applyAlignment="1">
      <alignment/>
    </xf>
    <xf numFmtId="0" fontId="22" fillId="0" borderId="42" xfId="0" applyFont="1" applyBorder="1" applyAlignment="1">
      <alignment horizontal="distributed"/>
    </xf>
    <xf numFmtId="0" fontId="22" fillId="0" borderId="149" xfId="0" applyFont="1" applyBorder="1" applyAlignment="1">
      <alignment horizontal="distributed"/>
    </xf>
    <xf numFmtId="0" fontId="22" fillId="0" borderId="159" xfId="0" applyFont="1" applyBorder="1" applyAlignment="1">
      <alignment/>
    </xf>
    <xf numFmtId="38" fontId="22" fillId="0" borderId="42" xfId="49" applyFont="1" applyBorder="1" applyAlignment="1">
      <alignment/>
    </xf>
    <xf numFmtId="38" fontId="22" fillId="0" borderId="149" xfId="49" applyFont="1" applyBorder="1" applyAlignment="1">
      <alignment/>
    </xf>
    <xf numFmtId="0" fontId="22" fillId="0" borderId="42" xfId="0" applyFont="1" applyBorder="1" applyAlignment="1">
      <alignment horizontal="distributed" shrinkToFit="1"/>
    </xf>
    <xf numFmtId="38" fontId="8" fillId="50" borderId="16" xfId="49" applyFont="1" applyFill="1" applyBorder="1" applyAlignment="1">
      <alignment horizontal="distributed" vertical="center"/>
    </xf>
    <xf numFmtId="0" fontId="0" fillId="0" borderId="65" xfId="0" applyBorder="1" applyAlignment="1">
      <alignment/>
    </xf>
    <xf numFmtId="0" fontId="5" fillId="0" borderId="159" xfId="0" applyFont="1" applyBorder="1" applyAlignment="1">
      <alignment/>
    </xf>
    <xf numFmtId="181" fontId="90" fillId="0" borderId="14" xfId="49" applyNumberFormat="1" applyFont="1" applyBorder="1" applyAlignment="1">
      <alignment horizontal="right"/>
    </xf>
    <xf numFmtId="181" fontId="90" fillId="0" borderId="14" xfId="49" applyNumberFormat="1" applyFont="1" applyFill="1" applyBorder="1" applyAlignment="1">
      <alignment horizontal="right"/>
    </xf>
    <xf numFmtId="0" fontId="5" fillId="45" borderId="177" xfId="0" applyFont="1" applyFill="1" applyBorder="1" applyAlignment="1">
      <alignment horizontal="left"/>
    </xf>
    <xf numFmtId="0" fontId="5" fillId="45" borderId="178" xfId="0" applyFont="1" applyFill="1" applyBorder="1" applyAlignment="1">
      <alignment horizontal="right"/>
    </xf>
    <xf numFmtId="197" fontId="21" fillId="0" borderId="18" xfId="0" applyNumberFormat="1" applyFont="1" applyBorder="1" applyAlignment="1">
      <alignment/>
    </xf>
    <xf numFmtId="197" fontId="21" fillId="0" borderId="28" xfId="0" applyNumberFormat="1" applyFont="1" applyBorder="1" applyAlignment="1">
      <alignment/>
    </xf>
    <xf numFmtId="197" fontId="21" fillId="44" borderId="14" xfId="0" applyNumberFormat="1" applyFont="1" applyFill="1" applyBorder="1" applyAlignment="1">
      <alignment/>
    </xf>
    <xf numFmtId="197" fontId="21" fillId="44" borderId="19" xfId="0" applyNumberFormat="1" applyFont="1" applyFill="1" applyBorder="1" applyAlignment="1">
      <alignment/>
    </xf>
    <xf numFmtId="197" fontId="21" fillId="0" borderId="141" xfId="0" applyNumberFormat="1" applyFont="1" applyBorder="1" applyAlignment="1">
      <alignment/>
    </xf>
    <xf numFmtId="197" fontId="21" fillId="0" borderId="14" xfId="0" applyNumberFormat="1" applyFont="1" applyBorder="1" applyAlignment="1">
      <alignment/>
    </xf>
    <xf numFmtId="197" fontId="21" fillId="0" borderId="19" xfId="0" applyNumberFormat="1" applyFont="1" applyBorder="1" applyAlignment="1">
      <alignment/>
    </xf>
    <xf numFmtId="197" fontId="21" fillId="44" borderId="157" xfId="0" applyNumberFormat="1" applyFont="1" applyFill="1" applyBorder="1" applyAlignment="1">
      <alignment/>
    </xf>
    <xf numFmtId="197" fontId="21" fillId="44" borderId="158" xfId="0" applyNumberFormat="1" applyFont="1" applyFill="1" applyBorder="1" applyAlignment="1">
      <alignment/>
    </xf>
    <xf numFmtId="38" fontId="22" fillId="0" borderId="28" xfId="49" applyFont="1" applyFill="1" applyBorder="1" applyAlignment="1">
      <alignment/>
    </xf>
    <xf numFmtId="0" fontId="21" fillId="0" borderId="27" xfId="0" applyFont="1" applyBorder="1" applyAlignment="1">
      <alignment/>
    </xf>
    <xf numFmtId="0" fontId="21" fillId="44" borderId="167" xfId="0" applyFont="1" applyFill="1" applyBorder="1" applyAlignment="1">
      <alignment/>
    </xf>
    <xf numFmtId="0" fontId="94" fillId="7" borderId="0" xfId="0" applyFont="1" applyFill="1" applyAlignment="1">
      <alignment/>
    </xf>
    <xf numFmtId="0" fontId="0" fillId="7" borderId="0" xfId="0" applyFill="1" applyBorder="1" applyAlignment="1">
      <alignment/>
    </xf>
    <xf numFmtId="0" fontId="0" fillId="7" borderId="0" xfId="0" applyFill="1" applyBorder="1" applyAlignment="1">
      <alignment horizontal="distributed" vertical="center"/>
    </xf>
    <xf numFmtId="0" fontId="0" fillId="7" borderId="0" xfId="0" applyFill="1" applyBorder="1" applyAlignment="1">
      <alignment horizontal="right"/>
    </xf>
    <xf numFmtId="185" fontId="0" fillId="7" borderId="0" xfId="0" applyNumberFormat="1" applyFill="1" applyBorder="1" applyAlignment="1">
      <alignment horizontal="right"/>
    </xf>
    <xf numFmtId="0" fontId="94" fillId="7" borderId="0" xfId="0" applyFont="1" applyFill="1" applyBorder="1" applyAlignment="1">
      <alignment/>
    </xf>
    <xf numFmtId="0" fontId="94" fillId="7" borderId="156" xfId="0" applyFont="1" applyFill="1" applyBorder="1" applyAlignment="1">
      <alignment/>
    </xf>
    <xf numFmtId="0" fontId="0" fillId="7" borderId="156" xfId="0" applyFill="1" applyBorder="1" applyAlignment="1">
      <alignment/>
    </xf>
    <xf numFmtId="0" fontId="93" fillId="7" borderId="0" xfId="0" applyFont="1" applyFill="1" applyBorder="1" applyAlignment="1">
      <alignment/>
    </xf>
    <xf numFmtId="0" fontId="4" fillId="7" borderId="0" xfId="0" applyFont="1" applyFill="1" applyBorder="1" applyAlignment="1">
      <alignment horizontal="distributed" vertical="center"/>
    </xf>
    <xf numFmtId="181" fontId="5" fillId="7" borderId="0" xfId="49" applyNumberFormat="1" applyFont="1" applyFill="1" applyBorder="1" applyAlignment="1">
      <alignment horizontal="right"/>
    </xf>
    <xf numFmtId="0" fontId="36" fillId="7" borderId="0" xfId="0" applyFont="1" applyFill="1" applyAlignment="1">
      <alignment/>
    </xf>
    <xf numFmtId="0" fontId="5" fillId="7" borderId="0" xfId="0" applyFont="1" applyFill="1" applyBorder="1" applyAlignment="1">
      <alignment/>
    </xf>
    <xf numFmtId="0" fontId="5" fillId="7" borderId="0" xfId="0" applyFont="1" applyFill="1" applyBorder="1" applyAlignment="1">
      <alignment horizontal="distributed" vertical="center"/>
    </xf>
    <xf numFmtId="38" fontId="5" fillId="7" borderId="0" xfId="49" applyFont="1" applyFill="1" applyBorder="1" applyAlignment="1">
      <alignment/>
    </xf>
    <xf numFmtId="38" fontId="5" fillId="7" borderId="0" xfId="0" applyNumberFormat="1" applyFont="1" applyFill="1" applyBorder="1" applyAlignment="1">
      <alignment/>
    </xf>
    <xf numFmtId="181" fontId="5" fillId="7" borderId="0" xfId="0" applyNumberFormat="1" applyFont="1" applyFill="1" applyBorder="1" applyAlignment="1">
      <alignment/>
    </xf>
    <xf numFmtId="190" fontId="5" fillId="7" borderId="0" xfId="0" applyNumberFormat="1" applyFont="1" applyFill="1" applyBorder="1" applyAlignment="1">
      <alignment/>
    </xf>
    <xf numFmtId="0" fontId="33" fillId="7" borderId="0" xfId="0" applyFont="1" applyFill="1" applyBorder="1" applyAlignment="1">
      <alignment/>
    </xf>
    <xf numFmtId="0" fontId="33" fillId="7" borderId="0" xfId="0" applyFont="1" applyFill="1" applyAlignment="1">
      <alignment/>
    </xf>
    <xf numFmtId="0" fontId="0" fillId="12" borderId="0" xfId="0" applyFill="1" applyAlignment="1">
      <alignment/>
    </xf>
    <xf numFmtId="38" fontId="0" fillId="12" borderId="0" xfId="49" applyFont="1" applyFill="1" applyAlignment="1">
      <alignment/>
    </xf>
    <xf numFmtId="190" fontId="96" fillId="0" borderId="165" xfId="0" applyNumberFormat="1" applyFont="1" applyBorder="1" applyAlignment="1">
      <alignment shrinkToFit="1"/>
    </xf>
    <xf numFmtId="190" fontId="21" fillId="0" borderId="28" xfId="0" applyNumberFormat="1" applyFont="1" applyBorder="1" applyAlignment="1">
      <alignment/>
    </xf>
    <xf numFmtId="190" fontId="21" fillId="44" borderId="14" xfId="0" applyNumberFormat="1" applyFont="1" applyFill="1" applyBorder="1" applyAlignment="1">
      <alignment/>
    </xf>
    <xf numFmtId="190" fontId="21" fillId="44" borderId="19" xfId="0" applyNumberFormat="1" applyFont="1" applyFill="1" applyBorder="1" applyAlignment="1">
      <alignment/>
    </xf>
    <xf numFmtId="190" fontId="21" fillId="0" borderId="141" xfId="0" applyNumberFormat="1" applyFont="1" applyFill="1" applyBorder="1" applyAlignment="1">
      <alignment/>
    </xf>
    <xf numFmtId="190" fontId="21" fillId="0" borderId="14" xfId="0" applyNumberFormat="1" applyFont="1" applyFill="1" applyBorder="1" applyAlignment="1">
      <alignment/>
    </xf>
    <xf numFmtId="190" fontId="21" fillId="0" borderId="14" xfId="0" applyNumberFormat="1" applyFont="1" applyBorder="1" applyAlignment="1">
      <alignment/>
    </xf>
    <xf numFmtId="190" fontId="96" fillId="0" borderId="14" xfId="0" applyNumberFormat="1" applyFont="1" applyBorder="1" applyAlignment="1">
      <alignment/>
    </xf>
    <xf numFmtId="190" fontId="21" fillId="0" borderId="19" xfId="0" applyNumberFormat="1" applyFont="1" applyBorder="1" applyAlignment="1">
      <alignment/>
    </xf>
    <xf numFmtId="190" fontId="96" fillId="44" borderId="14" xfId="0" applyNumberFormat="1" applyFont="1" applyFill="1" applyBorder="1" applyAlignment="1">
      <alignment/>
    </xf>
    <xf numFmtId="190" fontId="21" fillId="0" borderId="141" xfId="0" applyNumberFormat="1" applyFont="1" applyBorder="1" applyAlignment="1">
      <alignment/>
    </xf>
    <xf numFmtId="190" fontId="96" fillId="0" borderId="14" xfId="0" applyNumberFormat="1" applyFont="1" applyFill="1" applyBorder="1" applyAlignment="1">
      <alignment/>
    </xf>
    <xf numFmtId="0" fontId="21" fillId="7" borderId="0" xfId="0" applyFont="1" applyFill="1" applyAlignment="1">
      <alignment/>
    </xf>
    <xf numFmtId="0" fontId="0" fillId="7" borderId="0" xfId="0" applyFill="1" applyAlignment="1">
      <alignment/>
    </xf>
    <xf numFmtId="38" fontId="0" fillId="7" borderId="0" xfId="49" applyFont="1" applyFill="1" applyBorder="1" applyAlignment="1">
      <alignment shrinkToFit="1"/>
    </xf>
    <xf numFmtId="211" fontId="0" fillId="7" borderId="0" xfId="0" applyNumberFormat="1" applyFill="1" applyBorder="1" applyAlignment="1">
      <alignment shrinkToFit="1"/>
    </xf>
    <xf numFmtId="0" fontId="0" fillId="7" borderId="0" xfId="0" applyFill="1" applyAlignment="1">
      <alignment horizontal="center"/>
    </xf>
    <xf numFmtId="190" fontId="0" fillId="7" borderId="0" xfId="0" applyNumberFormat="1" applyFill="1" applyAlignment="1">
      <alignment/>
    </xf>
    <xf numFmtId="0" fontId="3" fillId="0" borderId="18"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54" xfId="0" applyFont="1" applyBorder="1" applyAlignment="1">
      <alignment horizontal="center" vertical="center"/>
    </xf>
    <xf numFmtId="0" fontId="3" fillId="0" borderId="129" xfId="0" applyFont="1" applyBorder="1" applyAlignment="1">
      <alignment horizontal="center" vertical="center"/>
    </xf>
    <xf numFmtId="0" fontId="1" fillId="0" borderId="51" xfId="0" applyFont="1" applyBorder="1" applyAlignment="1">
      <alignment horizontal="left" vertical="center"/>
    </xf>
    <xf numFmtId="0" fontId="3" fillId="33" borderId="179" xfId="0" applyFont="1" applyFill="1" applyBorder="1" applyAlignment="1">
      <alignment horizontal="center" vertical="center"/>
    </xf>
    <xf numFmtId="0" fontId="3" fillId="33" borderId="17" xfId="0" applyFont="1" applyFill="1" applyBorder="1" applyAlignment="1">
      <alignment horizontal="center" vertical="center"/>
    </xf>
    <xf numFmtId="0" fontId="3" fillId="36" borderId="180" xfId="0" applyFont="1" applyFill="1" applyBorder="1" applyAlignment="1">
      <alignment horizontal="center" vertical="center" textRotation="255"/>
    </xf>
    <xf numFmtId="0" fontId="3" fillId="36" borderId="105" xfId="0" applyFont="1" applyFill="1" applyBorder="1" applyAlignment="1">
      <alignment horizontal="center" vertical="center" textRotation="255"/>
    </xf>
    <xf numFmtId="0" fontId="3" fillId="36" borderId="106" xfId="0" applyFont="1" applyFill="1" applyBorder="1" applyAlignment="1">
      <alignment horizontal="center" vertical="center" textRotation="255"/>
    </xf>
    <xf numFmtId="0" fontId="3" fillId="0" borderId="82" xfId="0" applyFont="1" applyBorder="1" applyAlignment="1">
      <alignment horizontal="center" vertical="center" textRotation="255"/>
    </xf>
    <xf numFmtId="0" fontId="3" fillId="34" borderId="181" xfId="0" applyFont="1" applyFill="1" applyBorder="1" applyAlignment="1">
      <alignment horizontal="center" vertical="center" textRotation="255"/>
    </xf>
    <xf numFmtId="0" fontId="3" fillId="34" borderId="153" xfId="0" applyFont="1" applyFill="1" applyBorder="1" applyAlignment="1">
      <alignment horizontal="center" vertical="center" textRotation="255"/>
    </xf>
    <xf numFmtId="0" fontId="3" fillId="34" borderId="154" xfId="0" applyFont="1" applyFill="1" applyBorder="1" applyAlignment="1">
      <alignment horizontal="center" vertical="center" textRotation="255"/>
    </xf>
    <xf numFmtId="0" fontId="3" fillId="0" borderId="133" xfId="0" applyFont="1" applyBorder="1" applyAlignment="1">
      <alignment horizontal="center" vertical="center" wrapText="1"/>
    </xf>
    <xf numFmtId="0" fontId="3" fillId="0" borderId="80" xfId="0" applyFont="1" applyBorder="1" applyAlignment="1">
      <alignment horizontal="center" vertical="center" wrapText="1"/>
    </xf>
    <xf numFmtId="0" fontId="5" fillId="0" borderId="19" xfId="0" applyFont="1" applyBorder="1" applyAlignment="1">
      <alignment horizontal="distributed" vertical="center" shrinkToFit="1"/>
    </xf>
    <xf numFmtId="0" fontId="0" fillId="0" borderId="29" xfId="0" applyBorder="1" applyAlignment="1">
      <alignment horizontal="distributed" vertical="center" shrinkToFit="1"/>
    </xf>
    <xf numFmtId="0" fontId="5" fillId="33" borderId="16" xfId="0" applyFont="1" applyFill="1" applyBorder="1" applyAlignment="1">
      <alignment horizontal="distributed" vertical="center" shrinkToFit="1"/>
    </xf>
    <xf numFmtId="0" fontId="5" fillId="0" borderId="14" xfId="0" applyFont="1" applyBorder="1" applyAlignment="1">
      <alignment horizontal="distributed" vertical="center" shrinkToFit="1"/>
    </xf>
    <xf numFmtId="0" fontId="8" fillId="0" borderId="14" xfId="0" applyFont="1" applyBorder="1" applyAlignment="1">
      <alignment horizontal="distributed" vertical="center" wrapText="1" shrinkToFit="1"/>
    </xf>
    <xf numFmtId="0" fontId="8" fillId="0" borderId="14" xfId="0" applyFont="1" applyBorder="1" applyAlignment="1">
      <alignment horizontal="distributed" vertical="center" shrinkToFit="1"/>
    </xf>
    <xf numFmtId="0" fontId="5" fillId="34" borderId="104" xfId="0" applyFont="1" applyFill="1" applyBorder="1" applyAlignment="1">
      <alignment horizontal="center" vertical="center" textRotation="255"/>
    </xf>
    <xf numFmtId="0" fontId="5" fillId="34" borderId="105" xfId="0" applyFont="1" applyFill="1" applyBorder="1" applyAlignment="1">
      <alignment horizontal="center" vertical="center" textRotation="255"/>
    </xf>
    <xf numFmtId="0" fontId="5" fillId="34" borderId="107" xfId="0" applyFont="1" applyFill="1" applyBorder="1" applyAlignment="1">
      <alignment horizontal="center" vertical="center" textRotation="255"/>
    </xf>
    <xf numFmtId="0" fontId="5" fillId="37" borderId="18" xfId="0" applyFont="1" applyFill="1" applyBorder="1" applyAlignment="1">
      <alignment horizontal="distributed" vertical="center" shrinkToFit="1"/>
    </xf>
    <xf numFmtId="0" fontId="5" fillId="0" borderId="42" xfId="0" applyFont="1" applyBorder="1" applyAlignment="1">
      <alignment horizontal="center" vertical="center" shrinkToFit="1"/>
    </xf>
    <xf numFmtId="0" fontId="5" fillId="0" borderId="149" xfId="0" applyFont="1" applyBorder="1" applyAlignment="1">
      <alignment horizontal="center" vertical="center" shrinkToFit="1"/>
    </xf>
    <xf numFmtId="0" fontId="5" fillId="0" borderId="36" xfId="0" applyFont="1" applyBorder="1" applyAlignment="1">
      <alignment horizontal="center" vertical="center" shrinkToFit="1"/>
    </xf>
    <xf numFmtId="0" fontId="5" fillId="34" borderId="14" xfId="0" applyFont="1" applyFill="1" applyBorder="1" applyAlignment="1">
      <alignment horizontal="distributed" vertical="center" shrinkToFit="1"/>
    </xf>
    <xf numFmtId="0" fontId="5" fillId="36" borderId="14" xfId="0" applyFont="1" applyFill="1" applyBorder="1" applyAlignment="1">
      <alignment horizontal="distributed" vertical="center" shrinkToFit="1"/>
    </xf>
    <xf numFmtId="0" fontId="5" fillId="0" borderId="18" xfId="0" applyFont="1" applyBorder="1" applyAlignment="1">
      <alignment horizontal="center" vertical="center" shrinkToFit="1"/>
    </xf>
    <xf numFmtId="0" fontId="5" fillId="0" borderId="38" xfId="0" applyFont="1" applyBorder="1" applyAlignment="1">
      <alignment horizontal="center" vertical="center" shrinkToFit="1"/>
    </xf>
    <xf numFmtId="0" fontId="8" fillId="0" borderId="14" xfId="0" applyFont="1" applyBorder="1" applyAlignment="1">
      <alignment horizontal="center" vertical="center" textRotation="255" shrinkToFit="1"/>
    </xf>
    <xf numFmtId="0" fontId="5" fillId="0" borderId="14" xfId="0" applyFont="1" applyBorder="1" applyAlignment="1">
      <alignment horizontal="center" vertical="center" textRotation="255" shrinkToFit="1"/>
    </xf>
    <xf numFmtId="176" fontId="1" fillId="0" borderId="51" xfId="0" applyNumberFormat="1" applyFont="1" applyBorder="1" applyAlignment="1">
      <alignment horizontal="left" vertical="center"/>
    </xf>
    <xf numFmtId="0" fontId="5" fillId="33" borderId="182" xfId="0" applyFont="1" applyFill="1" applyBorder="1" applyAlignment="1">
      <alignment horizontal="center" vertical="center"/>
    </xf>
    <xf numFmtId="0" fontId="5" fillId="33" borderId="78" xfId="0" applyFont="1" applyFill="1" applyBorder="1" applyAlignment="1">
      <alignment horizontal="center" vertical="center"/>
    </xf>
    <xf numFmtId="0" fontId="5" fillId="33" borderId="22" xfId="0" applyFont="1" applyFill="1" applyBorder="1" applyAlignment="1">
      <alignment horizontal="center" vertical="center"/>
    </xf>
    <xf numFmtId="0" fontId="5" fillId="36" borderId="180" xfId="0" applyFont="1" applyFill="1" applyBorder="1" applyAlignment="1">
      <alignment horizontal="center" vertical="center" textRotation="255"/>
    </xf>
    <xf numFmtId="0" fontId="5" fillId="36" borderId="105" xfId="0" applyFont="1" applyFill="1" applyBorder="1" applyAlignment="1">
      <alignment horizontal="center" vertical="center" textRotation="255"/>
    </xf>
    <xf numFmtId="0" fontId="5" fillId="36" borderId="106" xfId="0" applyFont="1" applyFill="1" applyBorder="1" applyAlignment="1">
      <alignment horizontal="center" vertical="center" textRotation="255"/>
    </xf>
    <xf numFmtId="0" fontId="5" fillId="33" borderId="15" xfId="0" applyFont="1" applyFill="1" applyBorder="1" applyAlignment="1">
      <alignment horizontal="distributed" vertical="center" shrinkToFit="1"/>
    </xf>
    <xf numFmtId="0" fontId="5" fillId="0" borderId="19" xfId="0" applyFont="1" applyBorder="1" applyAlignment="1">
      <alignment horizontal="center" vertical="center" shrinkToFit="1"/>
    </xf>
    <xf numFmtId="0" fontId="0" fillId="0" borderId="29" xfId="0" applyBorder="1" applyAlignment="1">
      <alignment vertical="center" shrinkToFit="1"/>
    </xf>
    <xf numFmtId="0" fontId="5" fillId="0" borderId="42" xfId="0" applyFont="1" applyBorder="1" applyAlignment="1">
      <alignment horizontal="center" vertical="center"/>
    </xf>
    <xf numFmtId="0" fontId="5" fillId="0" borderId="149" xfId="0" applyFont="1" applyBorder="1" applyAlignment="1">
      <alignment horizontal="center" vertical="center"/>
    </xf>
    <xf numFmtId="0" fontId="5" fillId="0" borderId="36" xfId="0" applyFont="1" applyBorder="1" applyAlignment="1">
      <alignment horizontal="center" vertical="center"/>
    </xf>
    <xf numFmtId="0" fontId="5" fillId="0" borderId="14" xfId="0" applyFont="1" applyBorder="1" applyAlignment="1">
      <alignment vertical="center" shrinkToFit="1"/>
    </xf>
    <xf numFmtId="0" fontId="5" fillId="37" borderId="18" xfId="0" applyFont="1" applyFill="1" applyBorder="1" applyAlignment="1">
      <alignment horizontal="distributed" vertical="center"/>
    </xf>
    <xf numFmtId="0" fontId="4" fillId="34" borderId="14" xfId="0" applyFont="1" applyFill="1" applyBorder="1" applyAlignment="1">
      <alignment vertical="center" shrinkToFit="1"/>
    </xf>
    <xf numFmtId="0" fontId="5" fillId="0" borderId="18" xfId="0" applyFont="1" applyBorder="1" applyAlignment="1">
      <alignment horizontal="center" vertical="center"/>
    </xf>
    <xf numFmtId="0" fontId="5" fillId="0" borderId="14" xfId="0" applyFont="1" applyBorder="1" applyAlignment="1">
      <alignment horizontal="distributed" vertical="center"/>
    </xf>
    <xf numFmtId="0" fontId="5" fillId="36" borderId="14" xfId="0" applyFont="1" applyFill="1" applyBorder="1" applyAlignment="1">
      <alignment horizontal="distributed" vertical="center"/>
    </xf>
    <xf numFmtId="0" fontId="5" fillId="33" borderId="14" xfId="0" applyFont="1" applyFill="1" applyBorder="1" applyAlignment="1">
      <alignment horizontal="distributed" vertical="center"/>
    </xf>
    <xf numFmtId="0" fontId="5" fillId="0" borderId="38" xfId="0" applyFont="1" applyBorder="1" applyAlignment="1">
      <alignment horizontal="center" vertical="center"/>
    </xf>
    <xf numFmtId="0" fontId="5" fillId="0" borderId="19" xfId="0" applyFont="1" applyBorder="1" applyAlignment="1">
      <alignment vertical="center" shrinkToFit="1"/>
    </xf>
    <xf numFmtId="0" fontId="5" fillId="0" borderId="29" xfId="0" applyFont="1" applyBorder="1" applyAlignment="1">
      <alignment vertical="center" shrinkToFit="1"/>
    </xf>
    <xf numFmtId="0" fontId="5" fillId="34" borderId="14" xfId="0" applyFont="1" applyFill="1" applyBorder="1" applyAlignment="1">
      <alignment horizontal="distributed" vertical="center"/>
    </xf>
    <xf numFmtId="0" fontId="5" fillId="34" borderId="16" xfId="0" applyFont="1" applyFill="1" applyBorder="1" applyAlignment="1">
      <alignment horizontal="distributed" vertical="center"/>
    </xf>
    <xf numFmtId="0" fontId="8" fillId="0" borderId="14" xfId="0" applyFont="1" applyBorder="1" applyAlignment="1">
      <alignment horizontal="distributed" vertical="center" wrapText="1"/>
    </xf>
    <xf numFmtId="0" fontId="8" fillId="0" borderId="14" xfId="0" applyFont="1" applyBorder="1" applyAlignment="1">
      <alignment horizontal="distributed" vertical="center"/>
    </xf>
    <xf numFmtId="0" fontId="1" fillId="0" borderId="0" xfId="0" applyFont="1" applyBorder="1" applyAlignment="1">
      <alignment horizontal="left" vertical="center"/>
    </xf>
    <xf numFmtId="0" fontId="5" fillId="36" borderId="107" xfId="0" applyFont="1" applyFill="1" applyBorder="1" applyAlignment="1">
      <alignment horizontal="center" vertical="center" textRotation="255"/>
    </xf>
    <xf numFmtId="0" fontId="5" fillId="34" borderId="18" xfId="0" applyFont="1" applyFill="1" applyBorder="1" applyAlignment="1">
      <alignment horizontal="distributed" vertical="center"/>
    </xf>
    <xf numFmtId="0" fontId="0" fillId="0" borderId="29" xfId="0" applyFont="1" applyBorder="1" applyAlignment="1">
      <alignment horizontal="distributed" vertical="center"/>
    </xf>
    <xf numFmtId="38" fontId="4" fillId="33" borderId="19" xfId="49" applyFont="1" applyFill="1" applyBorder="1" applyAlignment="1">
      <alignment horizontal="distributed" vertical="center" wrapText="1"/>
    </xf>
    <xf numFmtId="38" fontId="4" fillId="33" borderId="133" xfId="49" applyFont="1" applyFill="1" applyBorder="1" applyAlignment="1">
      <alignment horizontal="distributed" vertical="center"/>
    </xf>
    <xf numFmtId="0" fontId="5" fillId="0" borderId="54" xfId="0" applyFont="1" applyBorder="1" applyAlignment="1">
      <alignment horizontal="left" vertical="center" shrinkToFit="1"/>
    </xf>
    <xf numFmtId="0" fontId="5" fillId="0" borderId="55" xfId="0" applyFont="1" applyBorder="1" applyAlignment="1">
      <alignment horizontal="left" vertical="center" shrinkToFit="1"/>
    </xf>
    <xf numFmtId="0" fontId="5" fillId="0" borderId="71" xfId="0" applyFont="1" applyBorder="1" applyAlignment="1">
      <alignment horizontal="left" vertical="center" shrinkToFit="1"/>
    </xf>
    <xf numFmtId="0" fontId="5" fillId="34" borderId="183" xfId="0" applyFont="1" applyFill="1" applyBorder="1" applyAlignment="1">
      <alignment vertical="center" shrinkToFit="1"/>
    </xf>
    <xf numFmtId="0" fontId="5" fillId="34" borderId="184" xfId="0" applyFont="1" applyFill="1" applyBorder="1" applyAlignment="1">
      <alignment vertical="center" shrinkToFit="1"/>
    </xf>
    <xf numFmtId="0" fontId="5" fillId="34" borderId="101" xfId="0" applyFont="1" applyFill="1" applyBorder="1" applyAlignment="1">
      <alignment vertical="center" shrinkToFit="1"/>
    </xf>
    <xf numFmtId="0" fontId="5" fillId="38" borderId="185" xfId="0" applyFont="1" applyFill="1" applyBorder="1" applyAlignment="1">
      <alignment horizontal="left" vertical="center" shrinkToFit="1"/>
    </xf>
    <xf numFmtId="0" fontId="5" fillId="38" borderId="186" xfId="0" applyFont="1" applyFill="1" applyBorder="1" applyAlignment="1">
      <alignment horizontal="left" vertical="center" shrinkToFit="1"/>
    </xf>
    <xf numFmtId="0" fontId="5" fillId="38" borderId="187" xfId="0" applyFont="1" applyFill="1" applyBorder="1" applyAlignment="1">
      <alignment horizontal="left" vertical="center" shrinkToFit="1"/>
    </xf>
    <xf numFmtId="0" fontId="5" fillId="0" borderId="19" xfId="0" applyFont="1" applyBorder="1" applyAlignment="1">
      <alignment horizontal="left" vertical="center" shrinkToFit="1"/>
    </xf>
    <xf numFmtId="0" fontId="5" fillId="0" borderId="31" xfId="0" applyFont="1" applyBorder="1" applyAlignment="1">
      <alignment horizontal="left" vertical="center" shrinkToFit="1"/>
    </xf>
    <xf numFmtId="0" fontId="5" fillId="0" borderId="32" xfId="0" applyFont="1" applyBorder="1" applyAlignment="1">
      <alignment horizontal="left" vertical="center" shrinkToFit="1"/>
    </xf>
    <xf numFmtId="0" fontId="5" fillId="0" borderId="132" xfId="0" applyFont="1" applyBorder="1" applyAlignment="1">
      <alignment horizontal="left" vertical="center" shrinkToFit="1"/>
    </xf>
    <xf numFmtId="0" fontId="5" fillId="0" borderId="79" xfId="0" applyFont="1" applyBorder="1" applyAlignment="1">
      <alignment horizontal="left" vertical="center" shrinkToFit="1"/>
    </xf>
    <xf numFmtId="0" fontId="5" fillId="0" borderId="74" xfId="0" applyFont="1" applyBorder="1" applyAlignment="1">
      <alignment horizontal="left" vertical="center" shrinkToFit="1"/>
    </xf>
    <xf numFmtId="0" fontId="5" fillId="36" borderId="188" xfId="0" applyFont="1" applyFill="1" applyBorder="1" applyAlignment="1">
      <alignment horizontal="left" vertical="center" shrinkToFit="1"/>
    </xf>
    <xf numFmtId="0" fontId="5" fillId="36" borderId="189" xfId="0" applyFont="1" applyFill="1" applyBorder="1" applyAlignment="1">
      <alignment horizontal="left" vertical="center" shrinkToFit="1"/>
    </xf>
    <xf numFmtId="0" fontId="5" fillId="36" borderId="190" xfId="0" applyFont="1" applyFill="1" applyBorder="1" applyAlignment="1">
      <alignment horizontal="left" vertical="center" shrinkToFit="1"/>
    </xf>
    <xf numFmtId="0" fontId="5" fillId="0" borderId="152" xfId="0" applyFont="1" applyBorder="1" applyAlignment="1">
      <alignment horizontal="center" vertical="center" shrinkToFit="1"/>
    </xf>
    <xf numFmtId="0" fontId="5" fillId="0" borderId="153" xfId="0" applyFont="1" applyBorder="1" applyAlignment="1">
      <alignment horizontal="center" vertical="center" shrinkToFit="1"/>
    </xf>
    <xf numFmtId="0" fontId="5" fillId="0" borderId="191" xfId="0" applyFont="1" applyBorder="1" applyAlignment="1">
      <alignment horizontal="center" vertical="center" shrinkToFit="1"/>
    </xf>
    <xf numFmtId="0" fontId="5" fillId="0" borderId="31" xfId="0" applyFont="1" applyBorder="1" applyAlignment="1">
      <alignment vertical="center" shrinkToFit="1"/>
    </xf>
    <xf numFmtId="0" fontId="5" fillId="0" borderId="32" xfId="0" applyFont="1" applyBorder="1" applyAlignment="1">
      <alignment vertical="center" shrinkToFit="1"/>
    </xf>
    <xf numFmtId="38" fontId="5" fillId="34" borderId="192" xfId="49" applyFont="1" applyFill="1" applyBorder="1" applyAlignment="1">
      <alignment horizontal="distributed" vertical="center"/>
    </xf>
    <xf numFmtId="0" fontId="0" fillId="0" borderId="193" xfId="0" applyBorder="1" applyAlignment="1">
      <alignment/>
    </xf>
    <xf numFmtId="0" fontId="0" fillId="0" borderId="35" xfId="0" applyBorder="1" applyAlignment="1">
      <alignment/>
    </xf>
    <xf numFmtId="38" fontId="5" fillId="37" borderId="194" xfId="49" applyFont="1" applyFill="1" applyBorder="1" applyAlignment="1">
      <alignment horizontal="distributed" vertical="center"/>
    </xf>
    <xf numFmtId="38" fontId="5" fillId="37" borderId="21" xfId="49" applyFont="1" applyFill="1" applyBorder="1" applyAlignment="1">
      <alignment horizontal="distributed" vertical="center"/>
    </xf>
    <xf numFmtId="38" fontId="5" fillId="37" borderId="195" xfId="49" applyFont="1" applyFill="1" applyBorder="1" applyAlignment="1">
      <alignment horizontal="distributed" vertical="center"/>
    </xf>
    <xf numFmtId="38" fontId="5" fillId="33" borderId="92" xfId="49" applyFont="1" applyFill="1" applyBorder="1" applyAlignment="1">
      <alignment horizontal="center" vertical="center"/>
    </xf>
    <xf numFmtId="38" fontId="5" fillId="33" borderId="196" xfId="49" applyFont="1" applyFill="1" applyBorder="1" applyAlignment="1">
      <alignment horizontal="center" vertical="center"/>
    </xf>
    <xf numFmtId="38" fontId="5" fillId="33" borderId="29" xfId="49" applyFont="1" applyFill="1" applyBorder="1" applyAlignment="1">
      <alignment horizontal="center" vertical="center"/>
    </xf>
    <xf numFmtId="38" fontId="5" fillId="33" borderId="90" xfId="49" applyFont="1" applyFill="1" applyBorder="1" applyAlignment="1">
      <alignment horizontal="center" vertical="center"/>
    </xf>
    <xf numFmtId="38" fontId="5" fillId="33" borderId="14" xfId="49" applyFont="1" applyFill="1" applyBorder="1" applyAlignment="1">
      <alignment horizontal="center" vertical="center"/>
    </xf>
    <xf numFmtId="38" fontId="5" fillId="33" borderId="16" xfId="49" applyFont="1" applyFill="1" applyBorder="1" applyAlignment="1">
      <alignment horizontal="center" vertical="center"/>
    </xf>
    <xf numFmtId="38" fontId="5" fillId="33" borderId="14" xfId="49" applyFont="1" applyFill="1" applyBorder="1" applyAlignment="1">
      <alignment horizontal="distributed" vertical="center" wrapText="1"/>
    </xf>
    <xf numFmtId="38" fontId="5" fillId="33" borderId="16" xfId="49" applyFont="1" applyFill="1" applyBorder="1" applyAlignment="1">
      <alignment horizontal="distributed" vertical="center"/>
    </xf>
    <xf numFmtId="0" fontId="5" fillId="37" borderId="182" xfId="0" applyFont="1" applyFill="1" applyBorder="1" applyAlignment="1">
      <alignment horizontal="left" vertical="center" shrinkToFit="1"/>
    </xf>
    <xf numFmtId="0" fontId="5" fillId="37" borderId="78" xfId="0" applyFont="1" applyFill="1" applyBorder="1" applyAlignment="1">
      <alignment horizontal="left" vertical="center" shrinkToFit="1"/>
    </xf>
    <xf numFmtId="0" fontId="5" fillId="37" borderId="73" xfId="0" applyFont="1" applyFill="1" applyBorder="1" applyAlignment="1">
      <alignment horizontal="left" vertical="center" shrinkToFit="1"/>
    </xf>
    <xf numFmtId="0" fontId="5" fillId="33" borderId="188" xfId="0" applyFont="1" applyFill="1" applyBorder="1" applyAlignment="1">
      <alignment horizontal="left" vertical="center" shrinkToFit="1"/>
    </xf>
    <xf numFmtId="0" fontId="5" fillId="33" borderId="189" xfId="0" applyFont="1" applyFill="1" applyBorder="1" applyAlignment="1">
      <alignment horizontal="left" vertical="center" shrinkToFit="1"/>
    </xf>
    <xf numFmtId="0" fontId="5" fillId="33" borderId="190" xfId="0" applyFont="1" applyFill="1" applyBorder="1" applyAlignment="1">
      <alignment horizontal="left" vertical="center" shrinkToFit="1"/>
    </xf>
    <xf numFmtId="0" fontId="9" fillId="0" borderId="51" xfId="0" applyFont="1" applyBorder="1" applyAlignment="1">
      <alignment horizontal="left" vertical="center"/>
    </xf>
    <xf numFmtId="0" fontId="5" fillId="33" borderId="68" xfId="0" applyFont="1" applyFill="1" applyBorder="1" applyAlignment="1">
      <alignment horizontal="center" vertical="center" shrinkToFit="1"/>
    </xf>
    <xf numFmtId="0" fontId="5" fillId="33" borderId="49" xfId="0" applyFont="1" applyFill="1" applyBorder="1" applyAlignment="1">
      <alignment horizontal="center" vertical="center" shrinkToFit="1"/>
    </xf>
    <xf numFmtId="0" fontId="5" fillId="33" borderId="70" xfId="0" applyFont="1" applyFill="1" applyBorder="1" applyAlignment="1">
      <alignment horizontal="center" vertical="center" shrinkToFit="1"/>
    </xf>
    <xf numFmtId="0" fontId="5" fillId="33" borderId="67"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110" xfId="0" applyFont="1" applyFill="1" applyBorder="1" applyAlignment="1">
      <alignment horizontal="center" vertical="center" shrinkToFit="1"/>
    </xf>
    <xf numFmtId="0" fontId="5" fillId="33" borderId="69" xfId="0" applyFont="1" applyFill="1" applyBorder="1" applyAlignment="1">
      <alignment horizontal="center" vertical="center" shrinkToFit="1"/>
    </xf>
    <xf numFmtId="0" fontId="5" fillId="33" borderId="51" xfId="0" applyFont="1" applyFill="1" applyBorder="1" applyAlignment="1">
      <alignment horizontal="center" vertical="center" shrinkToFit="1"/>
    </xf>
    <xf numFmtId="0" fontId="5" fillId="33" borderId="140" xfId="0" applyFont="1" applyFill="1" applyBorder="1" applyAlignment="1">
      <alignment horizontal="center" vertical="center" shrinkToFit="1"/>
    </xf>
    <xf numFmtId="38" fontId="5" fillId="33" borderId="192" xfId="49" applyFont="1" applyFill="1" applyBorder="1" applyAlignment="1">
      <alignment horizontal="center" vertical="center"/>
    </xf>
    <xf numFmtId="38" fontId="5" fillId="33" borderId="193" xfId="49" applyFont="1" applyFill="1" applyBorder="1" applyAlignment="1">
      <alignment horizontal="center" vertical="center"/>
    </xf>
    <xf numFmtId="38" fontId="5" fillId="33" borderId="35" xfId="49" applyFont="1" applyFill="1" applyBorder="1" applyAlignment="1">
      <alignment horizontal="center" vertical="center"/>
    </xf>
    <xf numFmtId="38" fontId="5" fillId="36" borderId="53" xfId="49" applyFont="1" applyFill="1" applyBorder="1" applyAlignment="1">
      <alignment horizontal="center" vertical="center"/>
    </xf>
    <xf numFmtId="38" fontId="5" fillId="33" borderId="42" xfId="49" applyFont="1" applyFill="1" applyBorder="1" applyAlignment="1">
      <alignment horizontal="distributed" vertical="center" wrapText="1"/>
    </xf>
    <xf numFmtId="0" fontId="0" fillId="0" borderId="36" xfId="0" applyBorder="1" applyAlignment="1">
      <alignment horizontal="distributed" vertical="center"/>
    </xf>
    <xf numFmtId="38" fontId="5" fillId="33" borderId="19" xfId="49" applyFont="1" applyFill="1" applyBorder="1" applyAlignment="1">
      <alignment horizontal="distributed" vertical="center"/>
    </xf>
    <xf numFmtId="38" fontId="5" fillId="33" borderId="133" xfId="49" applyFont="1" applyFill="1" applyBorder="1" applyAlignment="1">
      <alignment horizontal="distributed" vertical="center"/>
    </xf>
    <xf numFmtId="0" fontId="5" fillId="33" borderId="16" xfId="0" applyFont="1" applyFill="1" applyBorder="1" applyAlignment="1">
      <alignment horizontal="distributed" vertical="center"/>
    </xf>
    <xf numFmtId="0" fontId="5" fillId="37" borderId="104" xfId="0" applyFont="1" applyFill="1" applyBorder="1" applyAlignment="1">
      <alignment horizontal="distributed" vertical="center"/>
    </xf>
    <xf numFmtId="0" fontId="5" fillId="0" borderId="152" xfId="0" applyFont="1" applyBorder="1" applyAlignment="1">
      <alignment horizontal="center" vertical="center"/>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4" fillId="0" borderId="14" xfId="0" applyFont="1" applyBorder="1" applyAlignment="1">
      <alignment horizontal="distributed" vertical="center"/>
    </xf>
    <xf numFmtId="0" fontId="5" fillId="33" borderId="131" xfId="0" applyFont="1" applyFill="1" applyBorder="1" applyAlignment="1">
      <alignment horizontal="center" vertical="center"/>
    </xf>
    <xf numFmtId="0" fontId="5" fillId="33" borderId="53" xfId="0" applyFont="1" applyFill="1" applyBorder="1" applyAlignment="1">
      <alignment horizontal="center" vertical="center"/>
    </xf>
    <xf numFmtId="0" fontId="5" fillId="33" borderId="148" xfId="0" applyFont="1" applyFill="1" applyBorder="1" applyAlignment="1">
      <alignment horizontal="center" vertical="center"/>
    </xf>
    <xf numFmtId="0" fontId="5" fillId="0" borderId="19" xfId="0" applyFont="1" applyBorder="1" applyAlignment="1">
      <alignment horizontal="distributed" vertical="center"/>
    </xf>
    <xf numFmtId="0" fontId="0" fillId="0" borderId="29" xfId="0" applyBorder="1" applyAlignment="1">
      <alignment horizontal="distributed" vertical="center"/>
    </xf>
    <xf numFmtId="0" fontId="5" fillId="33" borderId="57" xfId="0" applyFont="1" applyFill="1" applyBorder="1" applyAlignment="1">
      <alignment horizontal="center" vertical="center"/>
    </xf>
    <xf numFmtId="0" fontId="5" fillId="33" borderId="149" xfId="0" applyFont="1" applyFill="1" applyBorder="1" applyAlignment="1">
      <alignment horizontal="center" vertical="center"/>
    </xf>
    <xf numFmtId="0" fontId="5" fillId="33" borderId="18" xfId="0" applyFont="1" applyFill="1" applyBorder="1" applyAlignment="1">
      <alignment horizontal="center" vertical="center"/>
    </xf>
    <xf numFmtId="0" fontId="5" fillId="0" borderId="42" xfId="0" applyFont="1" applyBorder="1" applyAlignment="1">
      <alignment horizontal="center" vertical="center" textRotation="255"/>
    </xf>
    <xf numFmtId="0" fontId="5" fillId="0" borderId="149"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51" xfId="0" applyFont="1" applyBorder="1" applyAlignment="1">
      <alignment horizontal="right" vertical="center"/>
    </xf>
    <xf numFmtId="0" fontId="8" fillId="33" borderId="58" xfId="0" applyFont="1" applyFill="1" applyBorder="1" applyAlignment="1">
      <alignment horizontal="center" vertical="center" wrapText="1"/>
    </xf>
    <xf numFmtId="0" fontId="8" fillId="33" borderId="150" xfId="0" applyFont="1" applyFill="1" applyBorder="1" applyAlignment="1">
      <alignment horizontal="center" vertical="center" wrapText="1"/>
    </xf>
    <xf numFmtId="0" fontId="8" fillId="33" borderId="41" xfId="0" applyFont="1" applyFill="1" applyBorder="1" applyAlignment="1">
      <alignment horizontal="center" vertical="center" wrapText="1"/>
    </xf>
    <xf numFmtId="0" fontId="5" fillId="33" borderId="42" xfId="0" applyFont="1" applyFill="1" applyBorder="1" applyAlignment="1">
      <alignment horizontal="center" vertical="center"/>
    </xf>
    <xf numFmtId="0" fontId="5" fillId="33" borderId="42"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0" fontId="4" fillId="33" borderId="44" xfId="0" applyFont="1" applyFill="1" applyBorder="1" applyAlignment="1">
      <alignment horizontal="center" vertical="center" wrapText="1"/>
    </xf>
    <xf numFmtId="0" fontId="4" fillId="33" borderId="143"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33" borderId="197" xfId="0" applyFont="1" applyFill="1" applyBorder="1" applyAlignment="1">
      <alignment horizontal="left" vertical="center" wrapText="1"/>
    </xf>
    <xf numFmtId="0" fontId="4" fillId="33" borderId="198" xfId="0" applyFont="1" applyFill="1" applyBorder="1" applyAlignment="1">
      <alignment horizontal="left" vertical="center"/>
    </xf>
    <xf numFmtId="0" fontId="4" fillId="33" borderId="199" xfId="0" applyFont="1" applyFill="1" applyBorder="1" applyAlignment="1">
      <alignment horizontal="left" vertical="center"/>
    </xf>
    <xf numFmtId="0" fontId="4" fillId="33" borderId="200" xfId="0" applyFont="1" applyFill="1" applyBorder="1" applyAlignment="1">
      <alignment horizontal="left" vertical="center"/>
    </xf>
    <xf numFmtId="0" fontId="4" fillId="33" borderId="201" xfId="0" applyFont="1" applyFill="1" applyBorder="1" applyAlignment="1">
      <alignment horizontal="left" vertical="center"/>
    </xf>
    <xf numFmtId="0" fontId="4" fillId="33" borderId="202" xfId="0" applyFont="1" applyFill="1" applyBorder="1" applyAlignment="1">
      <alignment horizontal="left" vertical="center"/>
    </xf>
    <xf numFmtId="0" fontId="4" fillId="33" borderId="203" xfId="0" applyFont="1" applyFill="1" applyBorder="1" applyAlignment="1">
      <alignment horizontal="left" vertical="center"/>
    </xf>
    <xf numFmtId="0" fontId="4" fillId="33" borderId="204" xfId="0" applyFont="1" applyFill="1" applyBorder="1" applyAlignment="1">
      <alignment horizontal="left" vertical="center"/>
    </xf>
    <xf numFmtId="0" fontId="4" fillId="33" borderId="205" xfId="0" applyFont="1" applyFill="1" applyBorder="1" applyAlignment="1">
      <alignment horizontal="left" vertical="center"/>
    </xf>
    <xf numFmtId="0" fontId="8" fillId="33" borderId="70" xfId="0" applyFont="1" applyFill="1" applyBorder="1" applyAlignment="1">
      <alignment horizontal="center" vertical="center" wrapText="1"/>
    </xf>
    <xf numFmtId="0" fontId="8" fillId="33" borderId="110" xfId="0" applyFont="1" applyFill="1" applyBorder="1" applyAlignment="1">
      <alignment horizontal="center" vertical="center" wrapText="1"/>
    </xf>
    <xf numFmtId="0" fontId="8" fillId="33" borderId="84" xfId="0" applyFont="1" applyFill="1" applyBorder="1" applyAlignment="1">
      <alignment horizontal="center" vertical="center" wrapText="1"/>
    </xf>
    <xf numFmtId="0" fontId="4" fillId="33" borderId="57" xfId="0" applyFont="1" applyFill="1" applyBorder="1" applyAlignment="1">
      <alignment horizontal="center" vertical="center" wrapText="1"/>
    </xf>
    <xf numFmtId="0" fontId="4" fillId="33" borderId="149"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5" fillId="33" borderId="52" xfId="0" applyFont="1" applyFill="1" applyBorder="1" applyAlignment="1">
      <alignment horizontal="center" vertical="center"/>
    </xf>
    <xf numFmtId="0" fontId="5" fillId="33" borderId="48" xfId="0" applyFont="1" applyFill="1" applyBorder="1" applyAlignment="1">
      <alignment horizontal="center" vertical="center"/>
    </xf>
    <xf numFmtId="0" fontId="5" fillId="33" borderId="27" xfId="0" applyFont="1" applyFill="1" applyBorder="1" applyAlignment="1">
      <alignment horizontal="center" vertical="center"/>
    </xf>
    <xf numFmtId="0" fontId="5" fillId="0" borderId="19" xfId="0" applyFont="1" applyBorder="1" applyAlignment="1">
      <alignment horizontal="left" vertical="center"/>
    </xf>
    <xf numFmtId="0" fontId="5" fillId="0" borderId="29" xfId="0" applyFont="1" applyBorder="1" applyAlignment="1">
      <alignment horizontal="left" vertical="center"/>
    </xf>
    <xf numFmtId="0" fontId="5" fillId="0" borderId="133" xfId="0" applyFont="1" applyBorder="1" applyAlignment="1">
      <alignment horizontal="left" vertical="center"/>
    </xf>
    <xf numFmtId="0" fontId="5" fillId="0" borderId="80" xfId="0" applyFont="1" applyBorder="1" applyAlignment="1">
      <alignment horizontal="left" vertical="center"/>
    </xf>
    <xf numFmtId="0" fontId="5" fillId="0" borderId="90" xfId="0" applyFont="1" applyBorder="1" applyAlignment="1">
      <alignment horizontal="left" vertical="center"/>
    </xf>
    <xf numFmtId="0" fontId="5" fillId="0" borderId="31" xfId="0" applyFont="1" applyBorder="1" applyAlignment="1">
      <alignment horizontal="left" vertical="center"/>
    </xf>
    <xf numFmtId="0" fontId="5" fillId="0" borderId="132" xfId="0" applyFont="1" applyBorder="1" applyAlignment="1">
      <alignment horizontal="left" vertical="center"/>
    </xf>
    <xf numFmtId="0" fontId="5" fillId="0" borderId="79" xfId="0" applyFont="1" applyBorder="1" applyAlignment="1">
      <alignment horizontal="left" vertical="center"/>
    </xf>
    <xf numFmtId="0" fontId="5" fillId="0" borderId="128" xfId="0" applyFont="1" applyBorder="1" applyAlignment="1">
      <alignment horizontal="left" vertical="center"/>
    </xf>
    <xf numFmtId="0" fontId="5" fillId="34" borderId="153" xfId="0" applyFont="1" applyFill="1" applyBorder="1" applyAlignment="1">
      <alignment horizontal="center" vertical="center" textRotation="255" shrinkToFit="1"/>
    </xf>
    <xf numFmtId="0" fontId="5" fillId="34" borderId="154" xfId="0" applyFont="1" applyFill="1" applyBorder="1" applyAlignment="1">
      <alignment horizontal="center" vertical="center" textRotation="255" shrinkToFit="1"/>
    </xf>
    <xf numFmtId="0" fontId="5" fillId="0" borderId="138" xfId="0" applyFont="1" applyBorder="1" applyAlignment="1">
      <alignment horizontal="left" vertical="center"/>
    </xf>
    <xf numFmtId="0" fontId="5" fillId="0" borderId="189" xfId="0" applyFont="1" applyBorder="1" applyAlignment="1">
      <alignment horizontal="left" vertical="center"/>
    </xf>
    <xf numFmtId="0" fontId="5" fillId="0" borderId="206" xfId="0" applyFont="1" applyBorder="1" applyAlignment="1">
      <alignment horizontal="left" vertical="center"/>
    </xf>
    <xf numFmtId="0" fontId="5" fillId="36" borderId="207" xfId="0" applyFont="1" applyFill="1" applyBorder="1" applyAlignment="1">
      <alignment horizontal="center" vertical="center" textRotation="255"/>
    </xf>
    <xf numFmtId="0" fontId="5" fillId="36" borderId="153" xfId="0" applyFont="1" applyFill="1" applyBorder="1" applyAlignment="1">
      <alignment horizontal="center" vertical="center" textRotation="255"/>
    </xf>
    <xf numFmtId="0" fontId="5" fillId="36" borderId="191" xfId="0" applyFont="1" applyFill="1" applyBorder="1" applyAlignment="1">
      <alignment horizontal="center" vertical="center" textRotation="255"/>
    </xf>
    <xf numFmtId="0" fontId="5" fillId="0" borderId="131" xfId="0" applyFont="1" applyBorder="1" applyAlignment="1">
      <alignment horizontal="left" vertical="center"/>
    </xf>
    <xf numFmtId="0" fontId="5" fillId="0" borderId="53" xfId="0" applyFont="1" applyBorder="1" applyAlignment="1">
      <alignment horizontal="left" vertical="center"/>
    </xf>
    <xf numFmtId="0" fontId="5" fillId="0" borderId="148" xfId="0" applyFont="1" applyBorder="1" applyAlignment="1">
      <alignment horizontal="left" vertical="center"/>
    </xf>
    <xf numFmtId="0" fontId="5" fillId="33" borderId="36" xfId="0" applyFont="1" applyFill="1" applyBorder="1" applyAlignment="1">
      <alignment horizontal="center" vertical="center"/>
    </xf>
    <xf numFmtId="0" fontId="4" fillId="33" borderId="58"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1" fillId="0" borderId="0" xfId="0" applyFont="1" applyAlignment="1">
      <alignment horizontal="left" vertical="center"/>
    </xf>
    <xf numFmtId="0" fontId="5" fillId="33" borderId="197" xfId="0" applyFont="1" applyFill="1" applyBorder="1" applyAlignment="1">
      <alignment horizontal="left" vertical="center" wrapText="1"/>
    </xf>
    <xf numFmtId="0" fontId="5" fillId="33" borderId="198" xfId="0" applyFont="1" applyFill="1" applyBorder="1" applyAlignment="1">
      <alignment horizontal="left" vertical="center"/>
    </xf>
    <xf numFmtId="0" fontId="5" fillId="33" borderId="199" xfId="0" applyFont="1" applyFill="1" applyBorder="1" applyAlignment="1">
      <alignment horizontal="left" vertical="center"/>
    </xf>
    <xf numFmtId="0" fontId="5" fillId="33" borderId="208" xfId="0" applyFont="1" applyFill="1" applyBorder="1" applyAlignment="1">
      <alignment horizontal="left" vertical="center"/>
    </xf>
    <xf numFmtId="0" fontId="5" fillId="33" borderId="209" xfId="0" applyFont="1" applyFill="1" applyBorder="1" applyAlignment="1">
      <alignment horizontal="left" vertical="center"/>
    </xf>
    <xf numFmtId="0" fontId="5" fillId="33" borderId="210" xfId="0" applyFont="1" applyFill="1" applyBorder="1" applyAlignment="1">
      <alignment horizontal="left" vertical="center"/>
    </xf>
    <xf numFmtId="0" fontId="5" fillId="34" borderId="181" xfId="0" applyFont="1" applyFill="1" applyBorder="1" applyAlignment="1">
      <alignment horizontal="center" vertical="center" textRotation="255" shrinkToFit="1"/>
    </xf>
    <xf numFmtId="0" fontId="5" fillId="0" borderId="16" xfId="0" applyFont="1" applyBorder="1" applyAlignment="1">
      <alignment horizontal="left" vertical="center"/>
    </xf>
    <xf numFmtId="0" fontId="0" fillId="0" borderId="37" xfId="0" applyBorder="1" applyAlignment="1">
      <alignment horizontal="center" vertical="center" wrapText="1"/>
    </xf>
    <xf numFmtId="0" fontId="4" fillId="33" borderId="36" xfId="0" applyFont="1" applyFill="1" applyBorder="1" applyAlignment="1">
      <alignment horizontal="center" vertical="center" wrapText="1"/>
    </xf>
    <xf numFmtId="0" fontId="0" fillId="0" borderId="36" xfId="0" applyBorder="1" applyAlignment="1">
      <alignment horizontal="center" vertical="center" wrapText="1"/>
    </xf>
    <xf numFmtId="178" fontId="5" fillId="0" borderId="51" xfId="0" applyNumberFormat="1" applyFont="1" applyBorder="1" applyAlignment="1">
      <alignment horizontal="center" vertical="center"/>
    </xf>
    <xf numFmtId="0" fontId="5" fillId="0" borderId="43" xfId="0" applyFont="1" applyBorder="1" applyAlignment="1">
      <alignment horizontal="left" vertical="center"/>
    </xf>
    <xf numFmtId="0" fontId="5" fillId="0" borderId="211" xfId="0" applyFont="1" applyBorder="1" applyAlignment="1">
      <alignment horizontal="left" vertical="center"/>
    </xf>
    <xf numFmtId="0" fontId="5" fillId="0" borderId="74" xfId="0" applyFont="1" applyBorder="1" applyAlignment="1">
      <alignment horizontal="left" vertical="center"/>
    </xf>
    <xf numFmtId="0" fontId="5" fillId="33" borderId="212" xfId="0" applyFont="1" applyFill="1" applyBorder="1" applyAlignment="1">
      <alignment horizontal="left" vertical="center"/>
    </xf>
    <xf numFmtId="0" fontId="5" fillId="33" borderId="213" xfId="0" applyFont="1" applyFill="1" applyBorder="1" applyAlignment="1">
      <alignment horizontal="left" vertical="center"/>
    </xf>
    <xf numFmtId="0" fontId="5" fillId="33" borderId="207" xfId="0" applyFont="1" applyFill="1" applyBorder="1" applyAlignment="1">
      <alignment horizontal="center" vertical="center"/>
    </xf>
    <xf numFmtId="0" fontId="5" fillId="33" borderId="154" xfId="0" applyFont="1" applyFill="1" applyBorder="1" applyAlignment="1">
      <alignment horizontal="center" vertical="center"/>
    </xf>
    <xf numFmtId="0" fontId="5" fillId="0" borderId="29" xfId="0" applyFont="1" applyBorder="1" applyAlignment="1">
      <alignment horizontal="distributed" vertical="center"/>
    </xf>
    <xf numFmtId="0" fontId="5" fillId="0" borderId="133" xfId="0" applyFont="1" applyBorder="1" applyAlignment="1">
      <alignment horizontal="distributed" vertical="center"/>
    </xf>
    <xf numFmtId="0" fontId="5" fillId="0" borderId="90" xfId="0" applyFont="1" applyBorder="1" applyAlignment="1">
      <alignment horizontal="distributed" vertical="center"/>
    </xf>
    <xf numFmtId="0" fontId="8" fillId="0" borderId="42" xfId="0" applyFont="1" applyBorder="1" applyAlignment="1">
      <alignment horizontal="center" vertical="center" textRotation="255"/>
    </xf>
    <xf numFmtId="0" fontId="8" fillId="0" borderId="149" xfId="0" applyFont="1" applyBorder="1" applyAlignment="1">
      <alignment horizontal="center" vertical="center" textRotation="255"/>
    </xf>
    <xf numFmtId="0" fontId="5" fillId="0" borderId="132" xfId="0" applyFont="1" applyBorder="1" applyAlignment="1">
      <alignment horizontal="distributed" vertical="center"/>
    </xf>
    <xf numFmtId="0" fontId="5" fillId="0" borderId="128" xfId="0" applyFont="1" applyBorder="1" applyAlignment="1">
      <alignment horizontal="distributed" vertical="center"/>
    </xf>
    <xf numFmtId="0" fontId="5" fillId="34" borderId="153" xfId="0" applyFont="1" applyFill="1" applyBorder="1" applyAlignment="1">
      <alignment vertical="center" textRotation="255"/>
    </xf>
    <xf numFmtId="0" fontId="5" fillId="34" borderId="154" xfId="0" applyFont="1" applyFill="1" applyBorder="1" applyAlignment="1">
      <alignment vertical="center" textRotation="255"/>
    </xf>
    <xf numFmtId="0" fontId="5" fillId="0" borderId="18" xfId="0" applyFont="1" applyBorder="1" applyAlignment="1">
      <alignment horizontal="distributed"/>
    </xf>
    <xf numFmtId="0" fontId="5" fillId="0" borderId="42" xfId="0" applyFont="1" applyBorder="1" applyAlignment="1">
      <alignment horizontal="center"/>
    </xf>
    <xf numFmtId="0" fontId="5" fillId="0" borderId="149" xfId="0" applyFont="1" applyBorder="1" applyAlignment="1">
      <alignment horizontal="center"/>
    </xf>
    <xf numFmtId="0" fontId="5" fillId="0" borderId="36" xfId="0" applyFont="1" applyBorder="1" applyAlignment="1">
      <alignment horizontal="center"/>
    </xf>
    <xf numFmtId="0" fontId="5" fillId="33" borderId="57" xfId="0" applyFont="1" applyFill="1" applyBorder="1" applyAlignment="1">
      <alignment horizontal="center" vertical="center" wrapText="1"/>
    </xf>
    <xf numFmtId="0" fontId="5" fillId="33" borderId="149"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103"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43" xfId="0" applyFont="1" applyFill="1" applyBorder="1" applyAlignment="1">
      <alignment horizontal="center" vertical="center"/>
    </xf>
    <xf numFmtId="0" fontId="5" fillId="36" borderId="214" xfId="0" applyFont="1" applyFill="1" applyBorder="1" applyAlignment="1">
      <alignment horizontal="center" vertical="center"/>
    </xf>
    <xf numFmtId="0" fontId="5" fillId="36" borderId="105" xfId="0" applyFont="1" applyFill="1" applyBorder="1" applyAlignment="1">
      <alignment horizontal="center" vertical="center"/>
    </xf>
    <xf numFmtId="0" fontId="5" fillId="36" borderId="106" xfId="0" applyFont="1" applyFill="1" applyBorder="1" applyAlignment="1">
      <alignment horizontal="center" vertical="center"/>
    </xf>
    <xf numFmtId="0" fontId="5" fillId="0" borderId="59" xfId="0" applyFont="1" applyBorder="1" applyAlignment="1">
      <alignment horizontal="distributed"/>
    </xf>
    <xf numFmtId="0" fontId="5" fillId="0" borderId="38" xfId="0" applyFont="1" applyBorder="1" applyAlignment="1">
      <alignment horizontal="center"/>
    </xf>
    <xf numFmtId="0" fontId="4" fillId="33" borderId="59"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5" fillId="33" borderId="197" xfId="0" applyFont="1" applyFill="1" applyBorder="1" applyAlignment="1">
      <alignment horizontal="left" wrapText="1"/>
    </xf>
    <xf numFmtId="0" fontId="5" fillId="33" borderId="198" xfId="0" applyFont="1" applyFill="1" applyBorder="1" applyAlignment="1">
      <alignment horizontal="left"/>
    </xf>
    <xf numFmtId="0" fontId="5" fillId="33" borderId="199" xfId="0" applyFont="1" applyFill="1" applyBorder="1" applyAlignment="1">
      <alignment horizontal="left"/>
    </xf>
    <xf numFmtId="0" fontId="5" fillId="33" borderId="200" xfId="0" applyFont="1" applyFill="1" applyBorder="1" applyAlignment="1">
      <alignment horizontal="left"/>
    </xf>
    <xf numFmtId="0" fontId="5" fillId="33" borderId="201" xfId="0" applyFont="1" applyFill="1" applyBorder="1" applyAlignment="1">
      <alignment horizontal="left"/>
    </xf>
    <xf numFmtId="0" fontId="5" fillId="33" borderId="202" xfId="0" applyFont="1" applyFill="1" applyBorder="1" applyAlignment="1">
      <alignment horizontal="left"/>
    </xf>
    <xf numFmtId="0" fontId="5" fillId="33" borderId="208" xfId="0" applyFont="1" applyFill="1" applyBorder="1" applyAlignment="1">
      <alignment horizontal="left"/>
    </xf>
    <xf numFmtId="0" fontId="5" fillId="33" borderId="209" xfId="0" applyFont="1" applyFill="1" applyBorder="1" applyAlignment="1">
      <alignment horizontal="left"/>
    </xf>
    <xf numFmtId="0" fontId="5" fillId="33" borderId="210" xfId="0" applyFont="1" applyFill="1" applyBorder="1" applyAlignment="1">
      <alignment horizontal="left"/>
    </xf>
    <xf numFmtId="0" fontId="5" fillId="33" borderId="59"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6" xfId="0" applyFont="1" applyFill="1" applyBorder="1" applyAlignment="1">
      <alignment horizontal="center" vertical="center"/>
    </xf>
    <xf numFmtId="0" fontId="3" fillId="0" borderId="115" xfId="0" applyFont="1" applyBorder="1" applyAlignment="1">
      <alignment horizontal="center" vertical="center" wrapText="1"/>
    </xf>
    <xf numFmtId="0" fontId="3" fillId="0" borderId="215" xfId="0" applyFont="1" applyBorder="1" applyAlignment="1">
      <alignment horizontal="center" vertical="center" wrapText="1"/>
    </xf>
    <xf numFmtId="0" fontId="12" fillId="0" borderId="115" xfId="0" applyFont="1" applyBorder="1" applyAlignment="1">
      <alignment horizontal="center" vertical="center" wrapText="1"/>
    </xf>
    <xf numFmtId="0" fontId="12" fillId="0" borderId="215" xfId="0" applyFont="1" applyBorder="1" applyAlignment="1">
      <alignment horizontal="center" vertical="center" wrapText="1"/>
    </xf>
    <xf numFmtId="0" fontId="12" fillId="0" borderId="145" xfId="0" applyFont="1" applyBorder="1" applyAlignment="1">
      <alignment horizontal="center" vertical="center"/>
    </xf>
    <xf numFmtId="0" fontId="12" fillId="0" borderId="216" xfId="0" applyFont="1" applyBorder="1" applyAlignment="1">
      <alignment horizontal="center" vertical="center"/>
    </xf>
    <xf numFmtId="0" fontId="12" fillId="0" borderId="14" xfId="0" applyFont="1" applyBorder="1" applyAlignment="1">
      <alignment horizontal="center" vertical="center" wrapText="1"/>
    </xf>
    <xf numFmtId="0" fontId="12" fillId="0" borderId="20" xfId="0" applyFont="1" applyBorder="1" applyAlignment="1">
      <alignment horizontal="center" vertical="center" wrapText="1"/>
    </xf>
    <xf numFmtId="0" fontId="3" fillId="0" borderId="114" xfId="0" applyFont="1" applyBorder="1" applyAlignment="1">
      <alignment horizontal="center" vertical="center" wrapText="1"/>
    </xf>
    <xf numFmtId="0" fontId="12" fillId="0" borderId="68" xfId="0" applyFont="1" applyBorder="1" applyAlignment="1">
      <alignment horizontal="center" vertical="center"/>
    </xf>
    <xf numFmtId="0" fontId="12" fillId="0" borderId="49" xfId="0" applyFont="1" applyBorder="1" applyAlignment="1">
      <alignment horizontal="center" vertical="center"/>
    </xf>
    <xf numFmtId="0" fontId="12" fillId="0" borderId="52" xfId="0" applyFont="1" applyBorder="1" applyAlignment="1">
      <alignment horizontal="center" vertical="center"/>
    </xf>
    <xf numFmtId="0" fontId="12" fillId="0" borderId="67" xfId="0" applyFont="1" applyBorder="1" applyAlignment="1">
      <alignment horizontal="center" vertical="center"/>
    </xf>
    <xf numFmtId="0" fontId="12" fillId="0" borderId="0" xfId="0" applyFont="1" applyBorder="1" applyAlignment="1">
      <alignment horizontal="center" vertical="center"/>
    </xf>
    <xf numFmtId="0" fontId="12" fillId="0" borderId="48" xfId="0" applyFont="1" applyBorder="1" applyAlignment="1">
      <alignment horizontal="center" vertical="center"/>
    </xf>
    <xf numFmtId="0" fontId="12" fillId="0" borderId="217" xfId="0" applyFont="1" applyBorder="1" applyAlignment="1">
      <alignment horizontal="center" vertical="center"/>
    </xf>
    <xf numFmtId="0" fontId="12" fillId="0" borderId="65" xfId="0" applyFont="1" applyBorder="1" applyAlignment="1">
      <alignment horizontal="center" vertical="center"/>
    </xf>
    <xf numFmtId="0" fontId="12" fillId="0" borderId="27" xfId="0" applyFont="1" applyBorder="1" applyAlignment="1">
      <alignment horizontal="center" vertical="center"/>
    </xf>
    <xf numFmtId="0" fontId="12" fillId="37" borderId="44"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52" xfId="0" applyBorder="1" applyAlignment="1">
      <alignment horizontal="center" vertical="center" wrapText="1"/>
    </xf>
    <xf numFmtId="0" fontId="12" fillId="37" borderId="28" xfId="0" applyFont="1" applyFill="1" applyBorder="1" applyAlignment="1">
      <alignment horizontal="center" vertical="center" wrapText="1"/>
    </xf>
    <xf numFmtId="0" fontId="0" fillId="0" borderId="65" xfId="0" applyBorder="1" applyAlignment="1">
      <alignment horizontal="center" vertical="center" wrapText="1"/>
    </xf>
    <xf numFmtId="0" fontId="0" fillId="0" borderId="27" xfId="0" applyBorder="1" applyAlignment="1">
      <alignment horizontal="center" vertical="center" wrapText="1"/>
    </xf>
    <xf numFmtId="0" fontId="12" fillId="36" borderId="131"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211" xfId="0" applyBorder="1" applyAlignment="1">
      <alignment horizontal="center" vertical="center" wrapText="1"/>
    </xf>
    <xf numFmtId="0" fontId="12" fillId="0" borderId="19"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29" xfId="0" applyFont="1" applyBorder="1" applyAlignment="1">
      <alignment horizontal="center" vertical="center" wrapText="1"/>
    </xf>
    <xf numFmtId="0" fontId="0" fillId="0" borderId="14" xfId="0" applyBorder="1" applyAlignment="1">
      <alignment horizontal="center" vertical="center" wrapText="1"/>
    </xf>
    <xf numFmtId="0" fontId="12" fillId="0" borderId="218" xfId="0" applyFont="1" applyBorder="1" applyAlignment="1">
      <alignment horizontal="center" vertical="center"/>
    </xf>
    <xf numFmtId="0" fontId="12" fillId="37" borderId="49" xfId="0" applyFont="1" applyFill="1" applyBorder="1" applyAlignment="1">
      <alignment horizontal="left" vertical="center" wrapText="1"/>
    </xf>
    <xf numFmtId="0" fontId="12" fillId="37" borderId="65" xfId="0" applyFont="1" applyFill="1" applyBorder="1" applyAlignment="1">
      <alignment horizontal="left" vertical="center" wrapText="1"/>
    </xf>
    <xf numFmtId="0" fontId="12" fillId="0" borderId="123" xfId="0" applyFont="1" applyBorder="1" applyAlignment="1">
      <alignment horizontal="center" vertical="center" wrapText="1"/>
    </xf>
    <xf numFmtId="0" fontId="12" fillId="0" borderId="219" xfId="0" applyFont="1" applyBorder="1" applyAlignment="1">
      <alignment horizontal="center" vertical="center" wrapText="1"/>
    </xf>
    <xf numFmtId="178" fontId="5" fillId="0" borderId="0" xfId="0" applyNumberFormat="1" applyFont="1" applyBorder="1" applyAlignment="1">
      <alignment vertical="center" wrapText="1"/>
    </xf>
    <xf numFmtId="178" fontId="5" fillId="0" borderId="0" xfId="0" applyNumberFormat="1" applyFont="1" applyBorder="1" applyAlignment="1">
      <alignment vertical="center"/>
    </xf>
    <xf numFmtId="178" fontId="5" fillId="0" borderId="0" xfId="0" applyNumberFormat="1" applyFont="1" applyAlignment="1">
      <alignment vertical="center"/>
    </xf>
    <xf numFmtId="178" fontId="1" fillId="0" borderId="0" xfId="0" applyNumberFormat="1" applyFont="1" applyAlignment="1">
      <alignment horizontal="left" vertical="center"/>
    </xf>
    <xf numFmtId="178" fontId="5" fillId="35" borderId="207" xfId="0" applyNumberFormat="1" applyFont="1" applyFill="1" applyBorder="1" applyAlignment="1">
      <alignment horizontal="center" vertical="center" shrinkToFit="1"/>
    </xf>
    <xf numFmtId="178" fontId="5" fillId="35" borderId="153" xfId="0" applyNumberFormat="1" applyFont="1" applyFill="1" applyBorder="1" applyAlignment="1">
      <alignment horizontal="center" vertical="center" shrinkToFit="1"/>
    </xf>
    <xf numFmtId="178" fontId="4" fillId="33" borderId="131" xfId="0" applyNumberFormat="1" applyFont="1" applyFill="1" applyBorder="1" applyAlignment="1">
      <alignment horizontal="center" vertical="center" shrinkToFit="1"/>
    </xf>
    <xf numFmtId="178" fontId="4" fillId="33" borderId="148" xfId="0" applyNumberFormat="1" applyFont="1" applyFill="1" applyBorder="1" applyAlignment="1">
      <alignment horizontal="center" vertical="center" shrinkToFit="1"/>
    </xf>
    <xf numFmtId="0" fontId="5" fillId="0" borderId="220" xfId="0" applyFont="1" applyFill="1" applyBorder="1" applyAlignment="1">
      <alignment horizontal="center" vertical="center"/>
    </xf>
    <xf numFmtId="0" fontId="5" fillId="0" borderId="126"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149"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33" borderId="131"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211" xfId="0" applyFont="1" applyFill="1" applyBorder="1" applyAlignment="1">
      <alignment horizontal="center" vertical="center" wrapText="1"/>
    </xf>
    <xf numFmtId="0" fontId="1" fillId="0" borderId="0" xfId="0" applyFont="1" applyFill="1" applyAlignment="1">
      <alignment horizontal="left" vertical="center"/>
    </xf>
    <xf numFmtId="0" fontId="21" fillId="45" borderId="18" xfId="0" applyFont="1" applyFill="1" applyBorder="1" applyAlignment="1">
      <alignment horizontal="center"/>
    </xf>
    <xf numFmtId="0" fontId="21" fillId="50" borderId="18" xfId="0" applyFont="1" applyFill="1" applyBorder="1" applyAlignment="1">
      <alignment horizontal="center"/>
    </xf>
    <xf numFmtId="0" fontId="21" fillId="50" borderId="28" xfId="0" applyFont="1" applyFill="1" applyBorder="1" applyAlignment="1">
      <alignment horizontal="center"/>
    </xf>
    <xf numFmtId="0" fontId="22" fillId="47" borderId="19" xfId="0" applyFont="1" applyFill="1" applyBorder="1" applyAlignment="1">
      <alignment horizontal="distributed" vertical="center"/>
    </xf>
    <xf numFmtId="0" fontId="22" fillId="47" borderId="31" xfId="0" applyFont="1" applyFill="1" applyBorder="1" applyAlignment="1">
      <alignment horizontal="distributed" vertical="center"/>
    </xf>
    <xf numFmtId="0" fontId="22" fillId="47" borderId="29" xfId="0" applyFont="1" applyFill="1" applyBorder="1" applyAlignment="1">
      <alignment horizontal="distributed" vertical="center"/>
    </xf>
    <xf numFmtId="0" fontId="22" fillId="47" borderId="133" xfId="0" applyFont="1" applyFill="1" applyBorder="1" applyAlignment="1">
      <alignment horizontal="distributed" vertical="center"/>
    </xf>
    <xf numFmtId="0" fontId="22" fillId="47" borderId="80" xfId="0" applyFont="1" applyFill="1" applyBorder="1" applyAlignment="1">
      <alignment horizontal="distributed" vertical="center"/>
    </xf>
    <xf numFmtId="0" fontId="22" fillId="47" borderId="90" xfId="0" applyFont="1" applyFill="1" applyBorder="1" applyAlignment="1">
      <alignment horizontal="distributed" vertical="center"/>
    </xf>
    <xf numFmtId="0" fontId="22" fillId="0" borderId="14" xfId="0" applyFont="1" applyBorder="1" applyAlignment="1">
      <alignment horizontal="distributed" vertical="center"/>
    </xf>
    <xf numFmtId="0" fontId="22" fillId="0" borderId="14" xfId="0" applyFont="1" applyBorder="1" applyAlignment="1">
      <alignment horizontal="center" vertical="center" textRotation="255" shrinkToFit="1"/>
    </xf>
    <xf numFmtId="0" fontId="22" fillId="0" borderId="149" xfId="0" applyFont="1" applyBorder="1" applyAlignment="1">
      <alignment horizontal="distributed" vertical="center"/>
    </xf>
    <xf numFmtId="0" fontId="22" fillId="0" borderId="18" xfId="0" applyFont="1" applyBorder="1" applyAlignment="1">
      <alignment/>
    </xf>
    <xf numFmtId="0" fontId="22" fillId="0" borderId="19" xfId="0" applyFont="1" applyBorder="1" applyAlignment="1">
      <alignment horizontal="distributed" vertical="center"/>
    </xf>
    <xf numFmtId="0" fontId="22" fillId="0" borderId="29" xfId="0" applyFont="1" applyBorder="1" applyAlignment="1">
      <alignment horizontal="distributed" vertical="center"/>
    </xf>
    <xf numFmtId="0" fontId="22" fillId="0" borderId="29" xfId="0" applyFont="1" applyBorder="1" applyAlignment="1">
      <alignment/>
    </xf>
    <xf numFmtId="0" fontId="21" fillId="0" borderId="19" xfId="0" applyFont="1" applyBorder="1" applyAlignment="1">
      <alignment horizontal="distributed" vertical="center" shrinkToFit="1"/>
    </xf>
    <xf numFmtId="0" fontId="21" fillId="0" borderId="29" xfId="0" applyFont="1" applyBorder="1" applyAlignment="1">
      <alignment shrinkToFit="1"/>
    </xf>
    <xf numFmtId="0" fontId="22" fillId="45" borderId="27" xfId="0" applyFont="1" applyFill="1" applyBorder="1" applyAlignment="1">
      <alignment horizontal="distributed" vertical="center"/>
    </xf>
    <xf numFmtId="0" fontId="22" fillId="45" borderId="18" xfId="0" applyFont="1" applyFill="1" applyBorder="1" applyAlignment="1">
      <alignment horizontal="distributed" vertical="center"/>
    </xf>
    <xf numFmtId="0" fontId="22" fillId="0" borderId="65" xfId="0" applyFont="1" applyBorder="1" applyAlignment="1">
      <alignment horizontal="distributed" vertical="center"/>
    </xf>
    <xf numFmtId="0" fontId="22" fillId="0" borderId="27" xfId="0" applyFont="1" applyBorder="1" applyAlignment="1">
      <alignment horizontal="distributed" vertical="center"/>
    </xf>
    <xf numFmtId="0" fontId="22" fillId="47" borderId="27" xfId="0" applyFont="1" applyFill="1" applyBorder="1" applyAlignment="1">
      <alignment horizontal="distributed" vertical="center"/>
    </xf>
    <xf numFmtId="0" fontId="22" fillId="47" borderId="18" xfId="0" applyFont="1" applyFill="1" applyBorder="1" applyAlignment="1">
      <alignment horizontal="distributed" vertical="center"/>
    </xf>
    <xf numFmtId="0" fontId="0" fillId="0" borderId="4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199" fontId="0" fillId="0" borderId="0" xfId="0" applyNumberFormat="1" applyBorder="1" applyAlignment="1">
      <alignment/>
    </xf>
    <xf numFmtId="0" fontId="22" fillId="45" borderId="65" xfId="0" applyFont="1" applyFill="1" applyBorder="1" applyAlignment="1">
      <alignment horizontal="center" vertical="center"/>
    </xf>
    <xf numFmtId="0" fontId="22" fillId="45" borderId="27" xfId="0" applyFont="1" applyFill="1" applyBorder="1" applyAlignment="1">
      <alignment horizontal="center" vertical="center"/>
    </xf>
    <xf numFmtId="0" fontId="22" fillId="44" borderId="19" xfId="0" applyFont="1" applyFill="1" applyBorder="1" applyAlignment="1">
      <alignment horizontal="distributed" vertical="center" shrinkToFit="1"/>
    </xf>
    <xf numFmtId="0" fontId="22" fillId="44" borderId="29" xfId="0" applyFont="1" applyFill="1" applyBorder="1" applyAlignment="1">
      <alignment horizontal="distributed" vertical="center" shrinkToFit="1"/>
    </xf>
    <xf numFmtId="0" fontId="22" fillId="0" borderId="55" xfId="0" applyFont="1" applyBorder="1" applyAlignment="1">
      <alignment horizontal="distributed" vertical="center" shrinkToFit="1"/>
    </xf>
    <xf numFmtId="0" fontId="22" fillId="0" borderId="129" xfId="0" applyFont="1" applyBorder="1" applyAlignment="1">
      <alignment horizontal="distributed" vertical="center" shrinkToFit="1"/>
    </xf>
    <xf numFmtId="0" fontId="22" fillId="0" borderId="65" xfId="0" applyFont="1" applyBorder="1" applyAlignment="1">
      <alignment horizontal="distributed" vertical="center" shrinkToFit="1"/>
    </xf>
    <xf numFmtId="0" fontId="22" fillId="0" borderId="27" xfId="0" applyFont="1" applyBorder="1" applyAlignment="1">
      <alignment horizontal="distributed" vertical="center" shrinkToFit="1"/>
    </xf>
    <xf numFmtId="38" fontId="5" fillId="51" borderId="221" xfId="49" applyFont="1" applyFill="1" applyBorder="1" applyAlignment="1">
      <alignment horizontal="distributed" vertical="center" wrapText="1"/>
    </xf>
    <xf numFmtId="38" fontId="5" fillId="51" borderId="19" xfId="49" applyFont="1" applyFill="1" applyBorder="1" applyAlignment="1">
      <alignment horizontal="distributed" vertical="center"/>
    </xf>
    <xf numFmtId="38" fontId="5" fillId="51" borderId="133" xfId="49" applyFont="1" applyFill="1" applyBorder="1" applyAlignment="1">
      <alignment horizontal="distributed" vertical="center"/>
    </xf>
    <xf numFmtId="38" fontId="5" fillId="50" borderId="14" xfId="49" applyFont="1" applyFill="1" applyBorder="1" applyAlignment="1">
      <alignment horizontal="distributed" vertical="center"/>
    </xf>
    <xf numFmtId="38" fontId="5" fillId="50" borderId="16" xfId="49" applyFont="1" applyFill="1" applyBorder="1" applyAlignment="1">
      <alignment horizontal="distributed" vertical="center"/>
    </xf>
    <xf numFmtId="38" fontId="5" fillId="50" borderId="19" xfId="49" applyFont="1" applyFill="1" applyBorder="1" applyAlignment="1">
      <alignment horizontal="distributed" vertical="center"/>
    </xf>
    <xf numFmtId="0" fontId="5" fillId="50" borderId="31" xfId="0" applyFont="1" applyFill="1" applyBorder="1" applyAlignment="1">
      <alignment horizontal="distributed" vertical="center"/>
    </xf>
    <xf numFmtId="0" fontId="5" fillId="50" borderId="29" xfId="0" applyFont="1" applyFill="1" applyBorder="1" applyAlignment="1">
      <alignment horizontal="distributed" vertical="center"/>
    </xf>
    <xf numFmtId="0" fontId="5" fillId="50" borderId="42" xfId="0" applyFont="1" applyFill="1" applyBorder="1" applyAlignment="1">
      <alignment horizontal="distributed" vertical="center" wrapText="1"/>
    </xf>
    <xf numFmtId="0" fontId="5" fillId="50" borderId="36" xfId="0" applyFont="1" applyFill="1" applyBorder="1" applyAlignment="1">
      <alignment horizontal="distributed" vertical="center" wrapText="1"/>
    </xf>
    <xf numFmtId="38" fontId="5" fillId="50" borderId="14" xfId="49" applyFont="1" applyFill="1" applyBorder="1" applyAlignment="1">
      <alignment horizontal="distributed" vertical="center" wrapText="1"/>
    </xf>
    <xf numFmtId="38" fontId="8" fillId="50" borderId="14" xfId="49" applyFont="1" applyFill="1" applyBorder="1" applyAlignment="1">
      <alignment horizontal="distributed" vertical="center" wrapText="1"/>
    </xf>
    <xf numFmtId="38" fontId="8" fillId="50" borderId="16" xfId="49" applyFont="1" applyFill="1" applyBorder="1" applyAlignment="1">
      <alignment horizontal="distributed" vertical="center"/>
    </xf>
    <xf numFmtId="0" fontId="4" fillId="0" borderId="55" xfId="0" applyFont="1" applyBorder="1" applyAlignment="1">
      <alignment horizontal="distributed" vertical="center"/>
    </xf>
    <xf numFmtId="0" fontId="4" fillId="0" borderId="129" xfId="0" applyFont="1" applyBorder="1" applyAlignment="1">
      <alignment horizontal="distributed" vertical="center"/>
    </xf>
    <xf numFmtId="0" fontId="4" fillId="0" borderId="167" xfId="0" applyFont="1" applyBorder="1" applyAlignment="1">
      <alignment horizontal="distributed" vertical="center"/>
    </xf>
    <xf numFmtId="0" fontId="4" fillId="0" borderId="165" xfId="0" applyFont="1" applyBorder="1" applyAlignment="1">
      <alignment horizontal="distributed" vertical="center"/>
    </xf>
    <xf numFmtId="38" fontId="5" fillId="45" borderId="169" xfId="49" applyFont="1" applyFill="1" applyBorder="1" applyAlignment="1">
      <alignment horizontal="distributed" vertical="center"/>
    </xf>
    <xf numFmtId="38" fontId="5" fillId="45" borderId="14" xfId="49" applyFont="1" applyFill="1" applyBorder="1" applyAlignment="1">
      <alignment horizontal="distributed" vertical="center"/>
    </xf>
    <xf numFmtId="38" fontId="5" fillId="45" borderId="16" xfId="49" applyFont="1" applyFill="1" applyBorder="1" applyAlignment="1">
      <alignment horizontal="distributed" vertical="center"/>
    </xf>
    <xf numFmtId="38" fontId="5" fillId="50" borderId="221" xfId="49" applyFont="1" applyFill="1" applyBorder="1" applyAlignment="1">
      <alignment horizontal="center" vertical="center"/>
    </xf>
    <xf numFmtId="38" fontId="5" fillId="50" borderId="222" xfId="49" applyFont="1" applyFill="1" applyBorder="1" applyAlignment="1">
      <alignment horizontal="center" vertical="center"/>
    </xf>
    <xf numFmtId="38" fontId="5" fillId="50" borderId="223" xfId="49" applyFont="1" applyFill="1" applyBorder="1" applyAlignment="1">
      <alignment horizontal="center" vertical="center"/>
    </xf>
    <xf numFmtId="38" fontId="5" fillId="52" borderId="169" xfId="49" applyFont="1" applyFill="1" applyBorder="1" applyAlignment="1">
      <alignment horizontal="distributed" vertical="center" wrapText="1"/>
    </xf>
    <xf numFmtId="38" fontId="5" fillId="52" borderId="14" xfId="49" applyFont="1" applyFill="1" applyBorder="1" applyAlignment="1">
      <alignment horizontal="distributed" vertical="center"/>
    </xf>
    <xf numFmtId="38" fontId="5" fillId="52" borderId="16" xfId="49" applyFont="1" applyFill="1" applyBorder="1" applyAlignment="1">
      <alignment horizontal="distributed" vertical="center"/>
    </xf>
    <xf numFmtId="0" fontId="5" fillId="0" borderId="49" xfId="0" applyFont="1" applyBorder="1" applyAlignment="1">
      <alignment horizontal="center"/>
    </xf>
    <xf numFmtId="0" fontId="5" fillId="0" borderId="52" xfId="0" applyFont="1" applyBorder="1" applyAlignment="1">
      <alignment horizontal="center"/>
    </xf>
    <xf numFmtId="0" fontId="5" fillId="0" borderId="65" xfId="0" applyFont="1" applyBorder="1" applyAlignment="1">
      <alignment horizontal="center"/>
    </xf>
    <xf numFmtId="0" fontId="5" fillId="0" borderId="27" xfId="0" applyFont="1" applyBorder="1" applyAlignment="1">
      <alignment horizontal="center"/>
    </xf>
    <xf numFmtId="0" fontId="4" fillId="47" borderId="31" xfId="0" applyFont="1" applyFill="1" applyBorder="1" applyAlignment="1">
      <alignment horizontal="distributed" vertical="center"/>
    </xf>
    <xf numFmtId="0" fontId="4" fillId="47" borderId="29" xfId="0" applyFont="1" applyFill="1" applyBorder="1" applyAlignment="1">
      <alignment horizontal="distributed" vertical="center"/>
    </xf>
    <xf numFmtId="0" fontId="5" fillId="47" borderId="31" xfId="0" applyFont="1" applyFill="1" applyBorder="1" applyAlignment="1">
      <alignment horizontal="distributed" vertical="center"/>
    </xf>
    <xf numFmtId="0" fontId="5" fillId="47" borderId="29" xfId="0" applyFont="1" applyFill="1" applyBorder="1" applyAlignment="1">
      <alignment horizontal="distributed" vertical="center"/>
    </xf>
    <xf numFmtId="38" fontId="5" fillId="52" borderId="18" xfId="49" applyFont="1" applyFill="1" applyBorder="1" applyAlignment="1">
      <alignment horizontal="distributed" vertical="center" wrapText="1"/>
    </xf>
    <xf numFmtId="38" fontId="5" fillId="51" borderId="28" xfId="49" applyFont="1" applyFill="1" applyBorder="1" applyAlignment="1">
      <alignment horizontal="distributed" vertical="center" wrapText="1"/>
    </xf>
    <xf numFmtId="38" fontId="5" fillId="45" borderId="18" xfId="49" applyFont="1" applyFill="1" applyBorder="1" applyAlignment="1">
      <alignment horizontal="distributed" vertical="center"/>
    </xf>
    <xf numFmtId="38" fontId="5" fillId="50" borderId="28" xfId="49" applyFont="1" applyFill="1" applyBorder="1" applyAlignment="1">
      <alignment horizontal="center" vertical="center"/>
    </xf>
    <xf numFmtId="38" fontId="5" fillId="50" borderId="65" xfId="49" applyFont="1" applyFill="1" applyBorder="1" applyAlignment="1">
      <alignment horizontal="center" vertical="center"/>
    </xf>
    <xf numFmtId="38" fontId="5" fillId="50" borderId="27" xfId="49" applyFont="1" applyFill="1" applyBorder="1" applyAlignment="1">
      <alignment horizontal="center" vertical="center"/>
    </xf>
    <xf numFmtId="38" fontId="0" fillId="0" borderId="59" xfId="49" applyFont="1" applyBorder="1" applyAlignment="1">
      <alignment horizontal="distributed" vertical="center"/>
    </xf>
    <xf numFmtId="38" fontId="0" fillId="0" borderId="14" xfId="49" applyFont="1" applyBorder="1" applyAlignment="1">
      <alignment horizontal="distributed" vertical="center"/>
    </xf>
    <xf numFmtId="38" fontId="0" fillId="0" borderId="16" xfId="49" applyFont="1" applyBorder="1" applyAlignment="1">
      <alignment horizontal="distributed" vertical="center"/>
    </xf>
    <xf numFmtId="38" fontId="0" fillId="0" borderId="131" xfId="49" applyFont="1" applyBorder="1" applyAlignment="1">
      <alignment horizontal="center" vertical="center"/>
    </xf>
    <xf numFmtId="38" fontId="0" fillId="0" borderId="53" xfId="49" applyFont="1" applyBorder="1" applyAlignment="1">
      <alignment horizontal="center" vertical="center"/>
    </xf>
    <xf numFmtId="38" fontId="0" fillId="0" borderId="148" xfId="49" applyFont="1" applyBorder="1" applyAlignment="1">
      <alignment horizontal="center" vertical="center"/>
    </xf>
    <xf numFmtId="38" fontId="0" fillId="0" borderId="103" xfId="49" applyFont="1" applyBorder="1" applyAlignment="1">
      <alignment horizontal="distributed" vertical="center"/>
    </xf>
    <xf numFmtId="38" fontId="0" fillId="0" borderId="20" xfId="49" applyFont="1" applyBorder="1" applyAlignment="1">
      <alignment horizontal="distributed" vertical="center"/>
    </xf>
    <xf numFmtId="38" fontId="0" fillId="0" borderId="43" xfId="49" applyFont="1" applyBorder="1" applyAlignment="1">
      <alignment horizontal="distributed" vertical="center"/>
    </xf>
    <xf numFmtId="38" fontId="0" fillId="0" borderId="19" xfId="49" applyFont="1" applyBorder="1" applyAlignment="1">
      <alignment horizontal="distributed" vertical="center"/>
    </xf>
    <xf numFmtId="0" fontId="0" fillId="0" borderId="31" xfId="0" applyBorder="1" applyAlignment="1">
      <alignment horizontal="distributed" vertical="center"/>
    </xf>
    <xf numFmtId="0" fontId="0" fillId="0" borderId="29" xfId="0" applyBorder="1" applyAlignment="1">
      <alignment horizontal="distributed" vertical="center"/>
    </xf>
    <xf numFmtId="0" fontId="0" fillId="0" borderId="42" xfId="0" applyBorder="1" applyAlignment="1">
      <alignment horizontal="distributed" vertical="center" wrapText="1"/>
    </xf>
    <xf numFmtId="0" fontId="0" fillId="0" borderId="36" xfId="0" applyBorder="1" applyAlignment="1">
      <alignment horizontal="distributed" vertical="center" wrapText="1"/>
    </xf>
    <xf numFmtId="38" fontId="21" fillId="0" borderId="14" xfId="49" applyFont="1" applyBorder="1" applyAlignment="1">
      <alignment horizontal="distributed" vertical="center" wrapText="1"/>
    </xf>
    <xf numFmtId="38" fontId="21" fillId="0" borderId="16" xfId="49" applyFont="1" applyBorder="1" applyAlignment="1">
      <alignment horizontal="distributed" vertical="center"/>
    </xf>
    <xf numFmtId="0" fontId="0" fillId="0" borderId="217" xfId="0" applyBorder="1" applyAlignment="1">
      <alignment horizontal="distributed" vertical="center"/>
    </xf>
    <xf numFmtId="0" fontId="0" fillId="0" borderId="65" xfId="0" applyBorder="1" applyAlignment="1">
      <alignment horizontal="distributed" vertical="center"/>
    </xf>
    <xf numFmtId="0" fontId="0" fillId="0" borderId="27" xfId="0" applyBorder="1" applyAlignment="1">
      <alignment horizontal="distributed" vertical="center"/>
    </xf>
    <xf numFmtId="0" fontId="0" fillId="0" borderId="19" xfId="0" applyBorder="1" applyAlignment="1">
      <alignment horizontal="distributed" vertical="center"/>
    </xf>
    <xf numFmtId="0" fontId="0" fillId="0" borderId="19" xfId="0" applyBorder="1" applyAlignment="1">
      <alignment horizontal="distributed" vertical="center"/>
    </xf>
    <xf numFmtId="0" fontId="0" fillId="0" borderId="54" xfId="0" applyBorder="1" applyAlignment="1">
      <alignment horizontal="distributed" vertical="center"/>
    </xf>
    <xf numFmtId="0" fontId="0" fillId="0" borderId="129" xfId="0" applyBorder="1" applyAlignment="1">
      <alignment horizontal="distributed" vertical="center"/>
    </xf>
    <xf numFmtId="0" fontId="21" fillId="0" borderId="133" xfId="0" applyFont="1" applyBorder="1" applyAlignment="1">
      <alignment horizontal="distributed" vertical="center"/>
    </xf>
    <xf numFmtId="0" fontId="21" fillId="0" borderId="90" xfId="0" applyFont="1" applyBorder="1" applyAlignment="1">
      <alignment horizontal="distributed" vertical="center"/>
    </xf>
    <xf numFmtId="0" fontId="5" fillId="42" borderId="28" xfId="0" applyFont="1" applyFill="1" applyBorder="1" applyAlignment="1">
      <alignment horizontal="center" vertical="center"/>
    </xf>
    <xf numFmtId="0" fontId="5" fillId="42" borderId="65" xfId="0" applyFont="1" applyFill="1" applyBorder="1" applyAlignment="1">
      <alignment horizontal="center" vertical="center"/>
    </xf>
    <xf numFmtId="0" fontId="5" fillId="45" borderId="28" xfId="0" applyFont="1" applyFill="1" applyBorder="1" applyAlignment="1">
      <alignment horizontal="center" vertical="center"/>
    </xf>
    <xf numFmtId="0" fontId="5" fillId="45" borderId="65" xfId="0" applyFont="1" applyFill="1" applyBorder="1" applyAlignment="1">
      <alignment horizontal="center" vertical="center"/>
    </xf>
    <xf numFmtId="0" fontId="5" fillId="45" borderId="27" xfId="0" applyFont="1" applyFill="1" applyBorder="1" applyAlignment="1">
      <alignment horizontal="center" vertical="center"/>
    </xf>
    <xf numFmtId="0" fontId="5" fillId="45" borderId="0" xfId="0" applyFont="1" applyFill="1" applyBorder="1" applyAlignment="1">
      <alignment horizontal="center" vertical="center" wrapText="1"/>
    </xf>
    <xf numFmtId="0" fontId="5" fillId="45" borderId="48" xfId="0" applyFont="1" applyFill="1" applyBorder="1" applyAlignment="1">
      <alignment horizontal="center" vertical="center" wrapText="1"/>
    </xf>
    <xf numFmtId="0" fontId="5" fillId="45" borderId="65" xfId="0" applyFont="1" applyFill="1" applyBorder="1" applyAlignment="1">
      <alignment horizontal="center" vertical="center" wrapText="1"/>
    </xf>
    <xf numFmtId="0" fontId="5" fillId="45" borderId="27" xfId="0" applyFont="1" applyFill="1" applyBorder="1" applyAlignment="1">
      <alignment horizontal="center" vertical="center" wrapText="1"/>
    </xf>
    <xf numFmtId="0" fontId="5" fillId="0" borderId="55" xfId="0" applyFont="1" applyBorder="1" applyAlignment="1">
      <alignment horizontal="distributed" vertical="center"/>
    </xf>
    <xf numFmtId="0" fontId="5" fillId="0" borderId="129" xfId="0" applyFont="1" applyBorder="1" applyAlignment="1">
      <alignment horizontal="distributed" vertical="center"/>
    </xf>
    <xf numFmtId="0" fontId="5" fillId="0" borderId="65" xfId="0" applyFont="1" applyBorder="1" applyAlignment="1">
      <alignment horizontal="distributed" vertical="center"/>
    </xf>
    <xf numFmtId="0" fontId="5" fillId="0" borderId="27" xfId="0" applyFont="1" applyBorder="1" applyAlignment="1">
      <alignment horizontal="distributed" vertical="center"/>
    </xf>
    <xf numFmtId="0" fontId="10" fillId="45" borderId="42" xfId="0" applyFont="1" applyFill="1" applyBorder="1" applyAlignment="1">
      <alignment horizontal="center" vertical="center" wrapText="1"/>
    </xf>
    <xf numFmtId="0" fontId="10" fillId="45" borderId="149" xfId="0" applyFont="1" applyFill="1" applyBorder="1" applyAlignment="1">
      <alignment horizontal="center" vertical="center"/>
    </xf>
    <xf numFmtId="0" fontId="10" fillId="45" borderId="18" xfId="0" applyFont="1" applyFill="1" applyBorder="1" applyAlignment="1">
      <alignment horizontal="center" vertical="center"/>
    </xf>
    <xf numFmtId="0" fontId="10" fillId="45" borderId="54" xfId="0" applyFont="1" applyFill="1" applyBorder="1" applyAlignment="1">
      <alignment horizontal="center" vertical="center" wrapText="1"/>
    </xf>
    <xf numFmtId="0" fontId="10" fillId="45" borderId="143" xfId="0" applyFont="1" applyFill="1" applyBorder="1" applyAlignment="1">
      <alignment horizontal="center" vertical="center"/>
    </xf>
    <xf numFmtId="0" fontId="10" fillId="45" borderId="28" xfId="0" applyFont="1" applyFill="1" applyBorder="1" applyAlignment="1">
      <alignment horizontal="center" vertical="center"/>
    </xf>
    <xf numFmtId="0" fontId="21" fillId="45" borderId="42" xfId="0" applyFont="1" applyFill="1" applyBorder="1" applyAlignment="1">
      <alignment horizontal="center" vertical="center" wrapText="1"/>
    </xf>
    <xf numFmtId="0" fontId="21" fillId="45" borderId="149" xfId="0" applyFont="1" applyFill="1" applyBorder="1" applyAlignment="1">
      <alignment horizontal="center" vertical="center"/>
    </xf>
    <xf numFmtId="0" fontId="21" fillId="45" borderId="18" xfId="0" applyFont="1" applyFill="1" applyBorder="1" applyAlignment="1">
      <alignment horizontal="center" vertical="center"/>
    </xf>
    <xf numFmtId="0" fontId="10" fillId="45" borderId="19" xfId="0" applyFont="1" applyFill="1" applyBorder="1" applyAlignment="1">
      <alignment horizontal="center"/>
    </xf>
    <xf numFmtId="0" fontId="10" fillId="45" borderId="31" xfId="0" applyFont="1" applyFill="1" applyBorder="1" applyAlignment="1">
      <alignment horizontal="center"/>
    </xf>
    <xf numFmtId="0" fontId="10" fillId="45" borderId="29" xfId="0" applyFont="1" applyFill="1" applyBorder="1" applyAlignment="1">
      <alignment horizontal="center"/>
    </xf>
    <xf numFmtId="0" fontId="10" fillId="45" borderId="42" xfId="0" applyFont="1" applyFill="1" applyBorder="1" applyAlignment="1">
      <alignment horizontal="center" vertical="center"/>
    </xf>
    <xf numFmtId="0" fontId="21" fillId="45" borderId="224" xfId="0" applyFont="1" applyFill="1" applyBorder="1" applyAlignment="1">
      <alignment horizontal="left" vertical="center" wrapText="1"/>
    </xf>
    <xf numFmtId="0" fontId="21" fillId="45" borderId="224" xfId="0" applyFont="1" applyFill="1" applyBorder="1" applyAlignment="1">
      <alignment horizontal="left" vertical="center"/>
    </xf>
    <xf numFmtId="0" fontId="21" fillId="45" borderId="225" xfId="0" applyFont="1" applyFill="1" applyBorder="1" applyAlignment="1">
      <alignment horizontal="left" vertical="center"/>
    </xf>
    <xf numFmtId="0" fontId="21" fillId="45" borderId="201" xfId="0" applyFont="1" applyFill="1" applyBorder="1" applyAlignment="1">
      <alignment horizontal="left" vertical="center"/>
    </xf>
    <xf numFmtId="0" fontId="21" fillId="45" borderId="202" xfId="0" applyFont="1" applyFill="1" applyBorder="1" applyAlignment="1">
      <alignment horizontal="left" vertical="center"/>
    </xf>
    <xf numFmtId="0" fontId="21" fillId="45" borderId="204" xfId="0" applyFont="1" applyFill="1" applyBorder="1" applyAlignment="1">
      <alignment horizontal="left" vertical="center"/>
    </xf>
    <xf numFmtId="0" fontId="21" fillId="45" borderId="205" xfId="0" applyFont="1" applyFill="1" applyBorder="1" applyAlignment="1">
      <alignment horizontal="left" vertical="center"/>
    </xf>
    <xf numFmtId="0" fontId="21" fillId="45" borderId="28" xfId="0" applyFont="1" applyFill="1" applyBorder="1" applyAlignment="1">
      <alignment horizontal="center"/>
    </xf>
    <xf numFmtId="0" fontId="21" fillId="45" borderId="65" xfId="0" applyFont="1" applyFill="1" applyBorder="1" applyAlignment="1">
      <alignment horizontal="center"/>
    </xf>
    <xf numFmtId="0" fontId="21" fillId="45" borderId="27" xfId="0" applyFont="1" applyFill="1" applyBorder="1" applyAlignment="1">
      <alignment horizontal="center"/>
    </xf>
    <xf numFmtId="0" fontId="21" fillId="45" borderId="42" xfId="0" applyFont="1" applyFill="1" applyBorder="1" applyAlignment="1">
      <alignment horizontal="center" vertical="center"/>
    </xf>
    <xf numFmtId="0" fontId="21" fillId="0" borderId="55" xfId="0" applyFont="1" applyBorder="1" applyAlignment="1">
      <alignment horizontal="distributed" vertical="distributed"/>
    </xf>
    <xf numFmtId="0" fontId="21" fillId="0" borderId="129" xfId="0" applyFont="1" applyBorder="1" applyAlignment="1">
      <alignment horizontal="distributed" vertical="distributed"/>
    </xf>
    <xf numFmtId="0" fontId="21" fillId="0" borderId="65" xfId="0" applyFont="1" applyBorder="1" applyAlignment="1">
      <alignment horizontal="distributed" vertical="distributed"/>
    </xf>
    <xf numFmtId="0" fontId="21" fillId="0" borderId="27" xfId="0" applyFont="1" applyBorder="1" applyAlignment="1">
      <alignment horizontal="distributed" vertical="distributed"/>
    </xf>
    <xf numFmtId="0" fontId="10" fillId="45" borderId="226" xfId="0" applyFont="1" applyFill="1" applyBorder="1" applyAlignment="1">
      <alignment horizontal="left" vertical="center" wrapText="1"/>
    </xf>
    <xf numFmtId="0" fontId="10" fillId="45" borderId="226" xfId="0" applyFont="1" applyFill="1" applyBorder="1" applyAlignment="1">
      <alignment horizontal="left" vertical="center"/>
    </xf>
    <xf numFmtId="0" fontId="10" fillId="45" borderId="227" xfId="0" applyFont="1" applyFill="1" applyBorder="1" applyAlignment="1">
      <alignment horizontal="left" vertical="center"/>
    </xf>
    <xf numFmtId="0" fontId="10" fillId="45" borderId="201" xfId="0" applyFont="1" applyFill="1" applyBorder="1" applyAlignment="1">
      <alignment horizontal="left" vertical="center"/>
    </xf>
    <xf numFmtId="0" fontId="10" fillId="45" borderId="202" xfId="0" applyFont="1" applyFill="1" applyBorder="1" applyAlignment="1">
      <alignment horizontal="left" vertical="center"/>
    </xf>
    <xf numFmtId="0" fontId="10" fillId="45" borderId="204" xfId="0" applyFont="1" applyFill="1" applyBorder="1" applyAlignment="1">
      <alignment horizontal="left" vertical="center"/>
    </xf>
    <xf numFmtId="0" fontId="10" fillId="45" borderId="205" xfId="0" applyFont="1" applyFill="1" applyBorder="1" applyAlignment="1">
      <alignment horizontal="left" vertical="center"/>
    </xf>
    <xf numFmtId="0" fontId="21" fillId="45" borderId="54" xfId="0" applyFont="1" applyFill="1" applyBorder="1" applyAlignment="1">
      <alignment horizontal="center" vertical="center" wrapText="1"/>
    </xf>
    <xf numFmtId="0" fontId="21" fillId="45" borderId="55" xfId="0" applyFont="1" applyFill="1" applyBorder="1" applyAlignment="1">
      <alignment horizontal="center" vertical="center" wrapText="1"/>
    </xf>
    <xf numFmtId="0" fontId="21" fillId="45" borderId="129" xfId="0" applyFont="1" applyFill="1" applyBorder="1" applyAlignment="1">
      <alignment horizontal="center" vertical="center" wrapText="1"/>
    </xf>
    <xf numFmtId="0" fontId="21" fillId="45" borderId="28" xfId="0" applyFont="1" applyFill="1" applyBorder="1" applyAlignment="1">
      <alignment horizontal="center" vertical="center" wrapText="1"/>
    </xf>
    <xf numFmtId="0" fontId="21" fillId="45" borderId="65" xfId="0" applyFont="1" applyFill="1" applyBorder="1" applyAlignment="1">
      <alignment horizontal="center" vertical="center" wrapText="1"/>
    </xf>
    <xf numFmtId="0" fontId="21" fillId="45" borderId="27" xfId="0" applyFont="1" applyFill="1" applyBorder="1" applyAlignment="1">
      <alignment horizontal="center" vertical="center" wrapText="1"/>
    </xf>
    <xf numFmtId="0" fontId="21" fillId="45" borderId="149" xfId="0" applyFont="1" applyFill="1" applyBorder="1" applyAlignment="1">
      <alignment horizontal="center" vertical="center" wrapText="1"/>
    </xf>
    <xf numFmtId="0" fontId="21" fillId="45" borderId="18" xfId="0" applyFont="1" applyFill="1" applyBorder="1" applyAlignment="1">
      <alignment horizontal="center" vertical="center" wrapText="1"/>
    </xf>
    <xf numFmtId="0" fontId="23" fillId="45" borderId="42" xfId="0" applyFont="1" applyFill="1" applyBorder="1" applyAlignment="1">
      <alignment horizontal="center" vertical="center" wrapText="1"/>
    </xf>
    <xf numFmtId="0" fontId="23" fillId="45" borderId="149" xfId="0" applyFont="1" applyFill="1" applyBorder="1" applyAlignment="1">
      <alignment horizontal="center" vertical="center"/>
    </xf>
    <xf numFmtId="0" fontId="23" fillId="45" borderId="18" xfId="0" applyFont="1" applyFill="1" applyBorder="1" applyAlignment="1">
      <alignment horizontal="center" vertical="center"/>
    </xf>
    <xf numFmtId="0" fontId="21" fillId="53" borderId="143" xfId="0" applyFont="1" applyFill="1" applyBorder="1" applyAlignment="1">
      <alignment horizontal="center" vertical="center" wrapText="1"/>
    </xf>
    <xf numFmtId="0" fontId="21" fillId="53" borderId="143" xfId="0" applyFont="1" applyFill="1" applyBorder="1" applyAlignment="1">
      <alignment horizontal="center" vertical="center"/>
    </xf>
    <xf numFmtId="0" fontId="21" fillId="53" borderId="28" xfId="0" applyFont="1" applyFill="1" applyBorder="1" applyAlignment="1">
      <alignment horizontal="center" vertical="center"/>
    </xf>
    <xf numFmtId="0" fontId="21" fillId="42" borderId="149" xfId="0" applyFont="1" applyFill="1" applyBorder="1" applyAlignment="1">
      <alignment horizontal="center" vertical="center" wrapText="1"/>
    </xf>
    <xf numFmtId="0" fontId="21" fillId="42" borderId="149" xfId="0" applyFont="1" applyFill="1" applyBorder="1" applyAlignment="1">
      <alignment horizontal="center" vertical="center"/>
    </xf>
    <xf numFmtId="0" fontId="21" fillId="42" borderId="18" xfId="0" applyFont="1" applyFill="1" applyBorder="1" applyAlignment="1">
      <alignment horizontal="center" vertical="center"/>
    </xf>
    <xf numFmtId="0" fontId="22" fillId="0" borderId="14" xfId="0" applyFont="1" applyBorder="1" applyAlignment="1">
      <alignment horizontal="distributed" vertical="center" shrinkToFit="1"/>
    </xf>
    <xf numFmtId="0" fontId="22" fillId="48" borderId="31" xfId="0" applyFont="1" applyFill="1" applyBorder="1" applyAlignment="1">
      <alignment horizontal="distributed" vertical="center"/>
    </xf>
    <xf numFmtId="0" fontId="22" fillId="48" borderId="29" xfId="0" applyFont="1" applyFill="1" applyBorder="1" applyAlignment="1">
      <alignment horizontal="distributed" vertical="center"/>
    </xf>
    <xf numFmtId="0" fontId="22" fillId="48" borderId="167" xfId="0" applyFont="1" applyFill="1" applyBorder="1" applyAlignment="1">
      <alignment horizontal="distributed" vertical="center"/>
    </xf>
    <xf numFmtId="0" fontId="22" fillId="48" borderId="165" xfId="0" applyFont="1" applyFill="1" applyBorder="1" applyAlignment="1">
      <alignment horizontal="distributed" vertical="center"/>
    </xf>
    <xf numFmtId="0" fontId="21" fillId="45" borderId="222" xfId="0" applyFont="1" applyFill="1" applyBorder="1" applyAlignment="1">
      <alignment horizontal="center" vertical="center"/>
    </xf>
    <xf numFmtId="0" fontId="21" fillId="45" borderId="223" xfId="0" applyFont="1" applyFill="1" applyBorder="1" applyAlignment="1">
      <alignment horizontal="center" vertical="center"/>
    </xf>
    <xf numFmtId="0" fontId="22" fillId="48" borderId="55" xfId="0" applyFont="1" applyFill="1" applyBorder="1" applyAlignment="1">
      <alignment horizontal="distributed" vertical="center"/>
    </xf>
    <xf numFmtId="0" fontId="22" fillId="48" borderId="129" xfId="0" applyFont="1" applyFill="1" applyBorder="1" applyAlignment="1">
      <alignment horizontal="distributed" vertical="center"/>
    </xf>
    <xf numFmtId="0" fontId="22" fillId="48" borderId="65" xfId="0" applyFont="1" applyFill="1" applyBorder="1" applyAlignment="1">
      <alignment horizontal="distributed" vertical="center"/>
    </xf>
    <xf numFmtId="0" fontId="22" fillId="48" borderId="27" xfId="0" applyFont="1" applyFill="1" applyBorder="1" applyAlignment="1">
      <alignment horizontal="distributed" vertical="center"/>
    </xf>
    <xf numFmtId="0" fontId="23" fillId="44" borderId="158" xfId="0" applyFont="1" applyFill="1" applyBorder="1" applyAlignment="1">
      <alignment horizontal="center" shrinkToFit="1"/>
    </xf>
    <xf numFmtId="0" fontId="23" fillId="44" borderId="167" xfId="0" applyFont="1" applyFill="1" applyBorder="1" applyAlignment="1">
      <alignment horizontal="center" shrinkToFit="1"/>
    </xf>
    <xf numFmtId="0" fontId="23" fillId="44" borderId="165" xfId="0" applyFont="1" applyFill="1" applyBorder="1" applyAlignment="1">
      <alignment horizontal="center" shrinkToFit="1"/>
    </xf>
    <xf numFmtId="0" fontId="23" fillId="0" borderId="19" xfId="0" applyFont="1" applyBorder="1" applyAlignment="1">
      <alignment horizontal="center" shrinkToFit="1"/>
    </xf>
    <xf numFmtId="0" fontId="23" fillId="0" borderId="29" xfId="0" applyFont="1" applyBorder="1" applyAlignment="1">
      <alignment horizontal="center" shrinkToFit="1"/>
    </xf>
    <xf numFmtId="0" fontId="23" fillId="44" borderId="19" xfId="0" applyFont="1" applyFill="1" applyBorder="1" applyAlignment="1">
      <alignment horizontal="center" shrinkToFit="1"/>
    </xf>
    <xf numFmtId="0" fontId="23" fillId="44" borderId="31" xfId="0" applyFont="1" applyFill="1" applyBorder="1" applyAlignment="1">
      <alignment horizontal="center" shrinkToFit="1"/>
    </xf>
    <xf numFmtId="0" fontId="23" fillId="44" borderId="29" xfId="0" applyFont="1" applyFill="1" applyBorder="1" applyAlignment="1">
      <alignment horizontal="center" shrinkToFit="1"/>
    </xf>
    <xf numFmtId="0" fontId="23" fillId="45" borderId="205" xfId="0" applyFont="1" applyFill="1" applyBorder="1" applyAlignment="1">
      <alignment horizontal="left" vertical="center" wrapText="1"/>
    </xf>
    <xf numFmtId="0" fontId="21" fillId="45" borderId="228" xfId="0" applyFont="1" applyFill="1" applyBorder="1" applyAlignment="1">
      <alignment horizontal="left" vertical="center"/>
    </xf>
    <xf numFmtId="0" fontId="21" fillId="45" borderId="229" xfId="0" applyFont="1" applyFill="1" applyBorder="1" applyAlignment="1">
      <alignment horizontal="left" vertical="center"/>
    </xf>
    <xf numFmtId="0" fontId="21" fillId="45" borderId="230" xfId="0" applyFont="1" applyFill="1" applyBorder="1" applyAlignment="1">
      <alignment horizontal="left" vertical="center"/>
    </xf>
    <xf numFmtId="0" fontId="23" fillId="45" borderId="18" xfId="0" applyFont="1" applyFill="1" applyBorder="1" applyAlignment="1">
      <alignment horizontal="center" vertical="center" wrapText="1"/>
    </xf>
    <xf numFmtId="0" fontId="23" fillId="45" borderId="14" xfId="0" applyFont="1" applyFill="1" applyBorder="1" applyAlignment="1">
      <alignment horizontal="center" vertical="center"/>
    </xf>
    <xf numFmtId="0" fontId="23" fillId="45" borderId="14" xfId="0" applyFont="1" applyFill="1" applyBorder="1" applyAlignment="1">
      <alignment horizontal="center" vertical="center" wrapText="1"/>
    </xf>
    <xf numFmtId="0" fontId="23" fillId="45" borderId="28" xfId="0" applyFont="1" applyFill="1" applyBorder="1" applyAlignment="1">
      <alignment horizontal="center" vertical="center" wrapText="1"/>
    </xf>
    <xf numFmtId="0" fontId="23" fillId="45" borderId="19" xfId="0" applyFont="1" applyFill="1" applyBorder="1" applyAlignment="1">
      <alignment horizontal="center" vertical="center" wrapText="1"/>
    </xf>
    <xf numFmtId="0" fontId="23" fillId="0" borderId="42" xfId="0" applyFont="1" applyBorder="1" applyAlignment="1">
      <alignment horizontal="center" vertical="center" textRotation="255" shrinkToFit="1"/>
    </xf>
    <xf numFmtId="0" fontId="23" fillId="0" borderId="149" xfId="0" applyFont="1" applyBorder="1" applyAlignment="1">
      <alignment horizontal="center" vertical="center" textRotation="255" shrinkToFit="1"/>
    </xf>
    <xf numFmtId="0" fontId="23" fillId="0" borderId="18" xfId="0" applyFont="1" applyBorder="1" applyAlignment="1">
      <alignment horizontal="center" vertical="center" textRotation="255" shrinkToFit="1"/>
    </xf>
    <xf numFmtId="0" fontId="23" fillId="0" borderId="55" xfId="0" applyFont="1" applyBorder="1" applyAlignment="1">
      <alignment horizontal="center" vertical="center" shrinkToFit="1"/>
    </xf>
    <xf numFmtId="0" fontId="23" fillId="0" borderId="129" xfId="0" applyFont="1" applyBorder="1" applyAlignment="1">
      <alignment horizontal="center" vertical="center" shrinkToFit="1"/>
    </xf>
    <xf numFmtId="0" fontId="23" fillId="0" borderId="65" xfId="0" applyFont="1" applyBorder="1" applyAlignment="1">
      <alignment horizontal="center" vertical="center" shrinkToFit="1"/>
    </xf>
    <xf numFmtId="0" fontId="23" fillId="0" borderId="27" xfId="0" applyFont="1" applyBorder="1" applyAlignment="1">
      <alignment horizontal="center" vertical="center" shrinkToFit="1"/>
    </xf>
    <xf numFmtId="0" fontId="21" fillId="45" borderId="168" xfId="0" applyFont="1" applyFill="1" applyBorder="1" applyAlignment="1">
      <alignment horizontal="center" vertical="center"/>
    </xf>
    <xf numFmtId="0" fontId="21" fillId="45" borderId="177" xfId="0" applyFont="1" applyFill="1" applyBorder="1" applyAlignment="1">
      <alignment horizontal="center" vertical="center"/>
    </xf>
    <xf numFmtId="0" fontId="21" fillId="45" borderId="143" xfId="0" applyFont="1" applyFill="1" applyBorder="1" applyAlignment="1">
      <alignment horizontal="center" vertical="center"/>
    </xf>
    <xf numFmtId="0" fontId="21" fillId="45" borderId="0" xfId="0" applyFont="1" applyFill="1" applyBorder="1" applyAlignment="1">
      <alignment horizontal="center" vertical="center"/>
    </xf>
    <xf numFmtId="0" fontId="21" fillId="0" borderId="55" xfId="0" applyFont="1" applyBorder="1" applyAlignment="1">
      <alignment horizontal="distributed" vertical="center"/>
    </xf>
    <xf numFmtId="0" fontId="21" fillId="0" borderId="129" xfId="0" applyFont="1" applyBorder="1" applyAlignment="1">
      <alignment horizontal="distributed" vertical="center"/>
    </xf>
    <xf numFmtId="0" fontId="21" fillId="0" borderId="65" xfId="0" applyFont="1" applyBorder="1" applyAlignment="1">
      <alignment horizontal="distributed" vertical="center"/>
    </xf>
    <xf numFmtId="0" fontId="21" fillId="0" borderId="27" xfId="0" applyFont="1" applyBorder="1" applyAlignment="1">
      <alignment horizontal="distributed" vertical="center"/>
    </xf>
    <xf numFmtId="0" fontId="0" fillId="0" borderId="214" xfId="0" applyBorder="1" applyAlignment="1">
      <alignment horizontal="distributed" vertical="center"/>
    </xf>
    <xf numFmtId="0" fontId="0" fillId="0" borderId="59" xfId="0" applyBorder="1" applyAlignment="1">
      <alignment horizontal="distributed" vertical="center"/>
    </xf>
    <xf numFmtId="0" fontId="0" fillId="0" borderId="105" xfId="0" applyBorder="1" applyAlignment="1">
      <alignment horizontal="distributed" vertical="center"/>
    </xf>
    <xf numFmtId="0" fontId="0" fillId="0" borderId="14" xfId="0" applyBorder="1" applyAlignment="1">
      <alignment horizontal="distributed" vertical="center"/>
    </xf>
    <xf numFmtId="0" fontId="0" fillId="0" borderId="44" xfId="0" applyBorder="1" applyAlignment="1">
      <alignment horizontal="center" vertical="center"/>
    </xf>
    <xf numFmtId="0" fontId="0" fillId="0" borderId="49" xfId="0" applyBorder="1" applyAlignment="1">
      <alignment horizontal="center" vertical="center"/>
    </xf>
    <xf numFmtId="0" fontId="0" fillId="0" borderId="143" xfId="0"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143" xfId="0" applyBorder="1" applyAlignment="1">
      <alignment horizontal="center"/>
    </xf>
    <xf numFmtId="0" fontId="0" fillId="0" borderId="110" xfId="0" applyBorder="1" applyAlignment="1">
      <alignment horizontal="center"/>
    </xf>
    <xf numFmtId="0" fontId="21" fillId="44" borderId="19" xfId="0" applyFont="1" applyFill="1" applyBorder="1" applyAlignment="1">
      <alignment horizontal="distributed" vertical="center"/>
    </xf>
    <xf numFmtId="0" fontId="21" fillId="44" borderId="29" xfId="0" applyFont="1" applyFill="1" applyBorder="1" applyAlignment="1">
      <alignment horizontal="distributed" vertical="center"/>
    </xf>
    <xf numFmtId="0" fontId="21" fillId="44" borderId="158" xfId="0" applyFont="1" applyFill="1" applyBorder="1" applyAlignment="1">
      <alignment horizontal="distributed" vertical="center"/>
    </xf>
    <xf numFmtId="0" fontId="21" fillId="44" borderId="165" xfId="0" applyFont="1" applyFill="1" applyBorder="1" applyAlignment="1">
      <alignment horizontal="distributed" vertical="center"/>
    </xf>
    <xf numFmtId="0" fontId="21" fillId="45" borderId="27" xfId="0" applyFont="1" applyFill="1" applyBorder="1" applyAlignment="1">
      <alignment horizontal="distributed" vertical="center"/>
    </xf>
    <xf numFmtId="0" fontId="21" fillId="45" borderId="18" xfId="0" applyFont="1" applyFill="1" applyBorder="1" applyAlignment="1">
      <alignment horizontal="distributed" vertical="center"/>
    </xf>
    <xf numFmtId="0" fontId="21" fillId="45" borderId="29" xfId="0" applyFont="1" applyFill="1" applyBorder="1" applyAlignment="1">
      <alignment horizontal="distributed" vertical="center"/>
    </xf>
    <xf numFmtId="0" fontId="21" fillId="45" borderId="14" xfId="0" applyFont="1" applyFill="1" applyBorder="1" applyAlignment="1">
      <alignment horizontal="distributed" vertical="center"/>
    </xf>
    <xf numFmtId="0" fontId="22" fillId="44" borderId="19" xfId="0" applyFont="1" applyFill="1" applyBorder="1" applyAlignment="1">
      <alignment horizontal="distributed"/>
    </xf>
    <xf numFmtId="0" fontId="0" fillId="0" borderId="31" xfId="0" applyBorder="1" applyAlignment="1">
      <alignment horizontal="distributed"/>
    </xf>
    <xf numFmtId="0" fontId="0" fillId="0" borderId="29" xfId="0" applyBorder="1" applyAlignment="1">
      <alignment horizontal="distributed"/>
    </xf>
    <xf numFmtId="0" fontId="22" fillId="44" borderId="158" xfId="0" applyFont="1" applyFill="1" applyBorder="1" applyAlignment="1">
      <alignment horizontal="distributed"/>
    </xf>
    <xf numFmtId="0" fontId="0" fillId="0" borderId="167" xfId="0" applyBorder="1" applyAlignment="1">
      <alignment horizontal="distributed"/>
    </xf>
    <xf numFmtId="0" fontId="0" fillId="0" borderId="165" xfId="0" applyBorder="1" applyAlignment="1">
      <alignment horizontal="distributed"/>
    </xf>
    <xf numFmtId="0" fontId="22" fillId="0" borderId="19" xfId="0" applyFont="1" applyBorder="1" applyAlignment="1">
      <alignment horizontal="distributed"/>
    </xf>
    <xf numFmtId="0" fontId="23" fillId="46" borderId="0" xfId="0" applyFont="1" applyFill="1" applyAlignment="1">
      <alignment horizontal="right" vertical="center"/>
    </xf>
    <xf numFmtId="0" fontId="22" fillId="0" borderId="129" xfId="0" applyFont="1" applyBorder="1" applyAlignment="1">
      <alignment vertical="center" textRotation="255" shrinkToFit="1"/>
    </xf>
    <xf numFmtId="0" fontId="22" fillId="0" borderId="48" xfId="0" applyFont="1" applyBorder="1" applyAlignment="1">
      <alignment vertical="center" textRotation="255" shrinkToFit="1"/>
    </xf>
    <xf numFmtId="0" fontId="22" fillId="0" borderId="27" xfId="0" applyFont="1" applyBorder="1" applyAlignment="1">
      <alignment vertical="center" textRotation="255" shrinkToFit="1"/>
    </xf>
    <xf numFmtId="0" fontId="22" fillId="45" borderId="28" xfId="0" applyFont="1" applyFill="1" applyBorder="1" applyAlignment="1">
      <alignment horizontal="center" vertical="center"/>
    </xf>
    <xf numFmtId="0" fontId="22" fillId="45" borderId="27" xfId="0" applyFont="1" applyFill="1" applyBorder="1" applyAlignment="1">
      <alignment horizontal="center" vertical="center"/>
    </xf>
    <xf numFmtId="0" fontId="22" fillId="45" borderId="0" xfId="0" applyFont="1" applyFill="1" applyBorder="1" applyAlignment="1">
      <alignment horizontal="center" vertical="center"/>
    </xf>
    <xf numFmtId="0" fontId="22" fillId="45" borderId="48" xfId="0" applyFont="1" applyFill="1" applyBorder="1" applyAlignment="1">
      <alignment horizontal="center" vertical="center"/>
    </xf>
    <xf numFmtId="0" fontId="22" fillId="45" borderId="65" xfId="0" applyFont="1" applyFill="1" applyBorder="1" applyAlignment="1">
      <alignment horizontal="center" vertical="center"/>
    </xf>
    <xf numFmtId="0" fontId="22" fillId="45" borderId="149" xfId="0" applyFont="1" applyFill="1" applyBorder="1" applyAlignment="1">
      <alignment horizontal="center" vertical="center" wrapText="1"/>
    </xf>
    <xf numFmtId="0" fontId="22" fillId="45" borderId="18" xfId="0" applyFont="1" applyFill="1" applyBorder="1" applyAlignment="1">
      <alignment horizontal="center" vertical="center" wrapText="1"/>
    </xf>
    <xf numFmtId="0" fontId="22" fillId="0" borderId="55" xfId="0" applyFont="1" applyBorder="1" applyAlignment="1">
      <alignment horizontal="distributed" vertical="center"/>
    </xf>
    <xf numFmtId="0" fontId="22" fillId="0" borderId="129" xfId="0" applyFont="1" applyBorder="1" applyAlignment="1">
      <alignment horizontal="distributed" vertical="center"/>
    </xf>
    <xf numFmtId="0" fontId="22" fillId="0" borderId="0" xfId="0" applyFont="1" applyBorder="1" applyAlignment="1">
      <alignment horizontal="distributed" vertical="center"/>
    </xf>
    <xf numFmtId="0" fontId="22" fillId="0" borderId="65" xfId="0" applyFont="1" applyBorder="1" applyAlignment="1">
      <alignment horizontal="distributed" vertical="center"/>
    </xf>
    <xf numFmtId="0" fontId="22" fillId="0" borderId="27" xfId="0" applyFont="1" applyBorder="1" applyAlignment="1">
      <alignment horizontal="distributed" vertical="center"/>
    </xf>
    <xf numFmtId="0" fontId="23" fillId="46" borderId="0" xfId="0" applyFont="1" applyFill="1" applyAlignment="1">
      <alignment horizontal="left" vertical="center" wrapText="1"/>
    </xf>
    <xf numFmtId="0" fontId="23" fillId="46" borderId="177" xfId="0" applyFont="1" applyFill="1" applyBorder="1" applyAlignment="1">
      <alignment horizontal="right" vertical="center"/>
    </xf>
    <xf numFmtId="0" fontId="22" fillId="44" borderId="31" xfId="0" applyFont="1" applyFill="1" applyBorder="1" applyAlignment="1">
      <alignment horizontal="distributed"/>
    </xf>
    <xf numFmtId="0" fontId="22" fillId="44" borderId="29" xfId="0" applyFont="1" applyFill="1" applyBorder="1" applyAlignment="1">
      <alignment horizontal="distributed"/>
    </xf>
    <xf numFmtId="0" fontId="21" fillId="45" borderId="27" xfId="0" applyFont="1" applyFill="1" applyBorder="1" applyAlignment="1">
      <alignment horizontal="center" vertical="center" shrinkToFit="1"/>
    </xf>
    <xf numFmtId="0" fontId="21" fillId="45" borderId="18" xfId="0" applyFont="1" applyFill="1" applyBorder="1" applyAlignment="1">
      <alignment horizontal="center" vertical="center" shrinkToFit="1"/>
    </xf>
    <xf numFmtId="0" fontId="21" fillId="45" borderId="29" xfId="0" applyFont="1" applyFill="1" applyBorder="1" applyAlignment="1">
      <alignment horizontal="center" vertical="center" shrinkToFit="1"/>
    </xf>
    <xf numFmtId="0" fontId="21" fillId="45" borderId="14" xfId="0" applyFont="1" applyFill="1" applyBorder="1" applyAlignment="1">
      <alignment horizontal="center" vertical="center" shrinkToFit="1"/>
    </xf>
    <xf numFmtId="0" fontId="21" fillId="45" borderId="149" xfId="0" applyFont="1" applyFill="1" applyBorder="1" applyAlignment="1">
      <alignment horizontal="center" shrinkToFit="1"/>
    </xf>
    <xf numFmtId="0" fontId="21" fillId="45" borderId="18" xfId="0" applyFont="1" applyFill="1" applyBorder="1" applyAlignment="1">
      <alignment horizontal="center" shrinkToFit="1"/>
    </xf>
    <xf numFmtId="0" fontId="21" fillId="45" borderId="28" xfId="0" applyFont="1" applyFill="1" applyBorder="1" applyAlignment="1">
      <alignment horizontal="center" shrinkToFit="1"/>
    </xf>
    <xf numFmtId="0" fontId="21" fillId="0" borderId="29" xfId="0" applyFont="1" applyBorder="1" applyAlignment="1">
      <alignment horizontal="distributed" vertical="center" shrinkToFit="1"/>
    </xf>
    <xf numFmtId="0" fontId="21" fillId="0" borderId="14" xfId="0" applyFont="1" applyBorder="1" applyAlignment="1">
      <alignment horizontal="distributed" vertical="center" shrinkToFit="1"/>
    </xf>
    <xf numFmtId="0" fontId="22" fillId="45" borderId="18" xfId="0" applyFont="1" applyFill="1" applyBorder="1" applyAlignment="1">
      <alignment horizontal="center" vertical="center"/>
    </xf>
    <xf numFmtId="0" fontId="22" fillId="45" borderId="14" xfId="0" applyFont="1" applyFill="1" applyBorder="1" applyAlignment="1">
      <alignment horizontal="center" vertical="center"/>
    </xf>
    <xf numFmtId="0" fontId="23" fillId="45" borderId="18" xfId="0" applyFont="1" applyFill="1" applyBorder="1" applyAlignment="1">
      <alignment horizontal="center" shrinkToFit="1"/>
    </xf>
    <xf numFmtId="0" fontId="23" fillId="45" borderId="28" xfId="0" applyFont="1" applyFill="1" applyBorder="1" applyAlignment="1">
      <alignment horizontal="center" shrinkToFit="1"/>
    </xf>
    <xf numFmtId="0" fontId="22" fillId="0" borderId="55" xfId="0" applyFont="1" applyBorder="1" applyAlignment="1">
      <alignment horizontal="distributed"/>
    </xf>
    <xf numFmtId="0" fontId="22" fillId="0" borderId="129" xfId="0" applyFont="1" applyBorder="1" applyAlignment="1">
      <alignment horizontal="distributed"/>
    </xf>
    <xf numFmtId="0" fontId="22" fillId="0" borderId="65" xfId="0" applyFont="1" applyBorder="1" applyAlignment="1">
      <alignment horizontal="distributed"/>
    </xf>
    <xf numFmtId="0" fontId="30" fillId="0" borderId="27" xfId="0" applyFont="1" applyBorder="1" applyAlignment="1">
      <alignment horizontal="distributed"/>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5"/>
          <c:y val="0.09525"/>
          <c:w val="0.7"/>
          <c:h val="0.803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cat>
            <c:strRef>
              <c:f>'図１'!$B$3:$G$3</c:f>
              <c:strCache/>
            </c:strRef>
          </c:cat>
          <c:val>
            <c:numRef>
              <c:f>'図１'!$B$4:$G$4</c:f>
              <c:numCache/>
            </c:numRef>
          </c:val>
        </c:ser>
        <c:ser>
          <c:idx val="2"/>
          <c:order val="1"/>
          <c:spPr>
            <a:solidFill>
              <a:srgbClr val="9BBB59"/>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000000"/>
                </a:solidFill>
              </a:ln>
            </c:spPr>
          </c:dPt>
          <c:dPt>
            <c:idx val="1"/>
            <c:spPr>
              <a:solidFill>
                <a:srgbClr val="8EB4E3"/>
              </a:solidFill>
              <a:ln w="3175">
                <a:solidFill>
                  <a:srgbClr val="000000"/>
                </a:solidFill>
              </a:ln>
            </c:spPr>
          </c:dPt>
          <c:dPt>
            <c:idx val="2"/>
            <c:spPr>
              <a:solidFill>
                <a:srgbClr val="FDEADA"/>
              </a:solidFill>
              <a:ln w="3175">
                <a:solidFill>
                  <a:srgbClr val="000000"/>
                </a:solidFill>
              </a:ln>
            </c:spPr>
          </c:dPt>
          <c:dPt>
            <c:idx val="3"/>
            <c:spPr>
              <a:solidFill>
                <a:srgbClr val="DCE6F2"/>
              </a:solidFill>
              <a:ln w="3175">
                <a:solidFill>
                  <a:srgbClr val="000000"/>
                </a:solidFill>
              </a:ln>
            </c:spPr>
          </c:dPt>
          <c:dPt>
            <c:idx val="4"/>
            <c:spPr>
              <a:solidFill>
                <a:srgbClr val="FCD5B5"/>
              </a:solidFill>
              <a:ln w="3175">
                <a:solidFill>
                  <a:srgbClr val="000000"/>
                </a:solidFill>
              </a:ln>
            </c:spPr>
          </c:dPt>
          <c:dPt>
            <c:idx val="5"/>
            <c:spPr>
              <a:solidFill>
                <a:srgbClr val="E6B9B8"/>
              </a:solidFill>
              <a:ln w="3175">
                <a:solidFill>
                  <a:srgbClr val="000000"/>
                </a:solidFill>
              </a:ln>
            </c:spPr>
          </c:dPt>
          <c:dLbls>
            <c:dLbl>
              <c:idx val="0"/>
              <c:tx>
                <c:rich>
                  <a:bodyPr vert="horz" rot="0" anchor="ctr"/>
                  <a:lstStyle/>
                  <a:p>
                    <a:pPr algn="ctr">
                      <a:defRPr/>
                    </a:pPr>
                    <a:r>
                      <a:rPr lang="en-US" cap="none" sz="800" b="1" i="0" u="none" baseline="0">
                        <a:solidFill>
                          <a:srgbClr val="000000"/>
                        </a:solidFill>
                        <a:latin typeface="ＭＳ Ｐゴシック"/>
                        <a:ea typeface="ＭＳ Ｐゴシック"/>
                        <a:cs typeface="ＭＳ Ｐゴシック"/>
                      </a:rPr>
                      <a:t>小学校</a:t>
                    </a:r>
                    <a:r>
                      <a:rPr lang="en-US" cap="none" sz="800" b="1" i="0" u="none" baseline="0">
                        <a:solidFill>
                          <a:srgbClr val="000000"/>
                        </a:solidFill>
                      </a:rPr>
                      <a:t>
</a:t>
                    </a:r>
                    <a:r>
                      <a:rPr lang="en-US" cap="none" sz="800" b="1" i="0" u="none" baseline="0">
                        <a:solidFill>
                          <a:srgbClr val="000000"/>
                        </a:solidFill>
                      </a:rPr>
                      <a:t>37.2</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
</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36.7</a:t>
                    </a:r>
                    <a:r>
                      <a:rPr lang="en-US" cap="none" sz="800" b="1" i="0" u="none" baseline="0">
                        <a:solidFill>
                          <a:srgbClr val="000000"/>
                        </a:solidFill>
                        <a:latin typeface="ＭＳ Ｐゴシック"/>
                        <a:ea typeface="ＭＳ Ｐゴシック"/>
                        <a:cs typeface="ＭＳ Ｐゴシック"/>
                      </a:rPr>
                      <a:t>％）</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800" b="1" i="0" u="none" baseline="0">
                        <a:solidFill>
                          <a:srgbClr val="000000"/>
                        </a:solidFill>
                        <a:latin typeface="ＭＳ Ｐゴシック"/>
                        <a:ea typeface="ＭＳ Ｐゴシック"/>
                        <a:cs typeface="ＭＳ Ｐゴシック"/>
                      </a:rPr>
                      <a:t>中学校</a:t>
                    </a:r>
                    <a:r>
                      <a:rPr lang="en-US" cap="none" sz="800" b="1" i="0" u="none" baseline="0">
                        <a:solidFill>
                          <a:srgbClr val="000000"/>
                        </a:solidFill>
                      </a:rPr>
                      <a:t>
</a:t>
                    </a:r>
                    <a:r>
                      <a:rPr lang="en-US" cap="none" sz="800" b="1" i="0" u="none" baseline="0">
                        <a:solidFill>
                          <a:srgbClr val="000000"/>
                        </a:solidFill>
                      </a:rPr>
                      <a:t>21.1</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
</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21.8</a:t>
                    </a:r>
                    <a:r>
                      <a:rPr lang="en-US" cap="none" sz="800" b="1" i="0" u="none" baseline="0">
                        <a:solidFill>
                          <a:srgbClr val="000000"/>
                        </a:solidFill>
                        <a:latin typeface="ＭＳ Ｐゴシック"/>
                        <a:ea typeface="ＭＳ Ｐゴシック"/>
                        <a:cs typeface="ＭＳ Ｐゴシック"/>
                      </a:rPr>
                      <a:t>％）</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800" b="1" i="0" u="none" baseline="0">
                        <a:solidFill>
                          <a:srgbClr val="000000"/>
                        </a:solidFill>
                        <a:latin typeface="ＭＳ Ｐゴシック"/>
                        <a:ea typeface="ＭＳ Ｐゴシック"/>
                        <a:cs typeface="ＭＳ Ｐゴシック"/>
                      </a:rPr>
                      <a:t>高等学校</a:t>
                    </a:r>
                    <a:r>
                      <a:rPr lang="en-US" cap="none" sz="800" b="1" i="0" u="none" baseline="0">
                        <a:solidFill>
                          <a:srgbClr val="000000"/>
                        </a:solidFill>
                      </a:rPr>
                      <a:t>
</a:t>
                    </a:r>
                    <a:r>
                      <a:rPr lang="en-US" cap="none" sz="800" b="1" i="0" u="none" baseline="0">
                        <a:solidFill>
                          <a:srgbClr val="000000"/>
                        </a:solidFill>
                        <a:latin typeface="ＭＳ Ｐゴシック"/>
                        <a:ea typeface="ＭＳ Ｐゴシック"/>
                        <a:cs typeface="ＭＳ Ｐゴシック"/>
                      </a:rPr>
                      <a:t>全日制</a:t>
                    </a:r>
                    <a:r>
                      <a:rPr lang="en-US" cap="none" sz="800" b="1" i="0" u="none" baseline="0">
                        <a:solidFill>
                          <a:srgbClr val="000000"/>
                        </a:solidFill>
                      </a:rPr>
                      <a:t>
</a:t>
                    </a:r>
                    <a:r>
                      <a:rPr lang="en-US" cap="none" sz="800" b="1" i="0" u="none" baseline="0">
                        <a:solidFill>
                          <a:srgbClr val="000000"/>
                        </a:solidFill>
                      </a:rPr>
                      <a:t>16.9</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
</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15.5</a:t>
                    </a:r>
                    <a:r>
                      <a:rPr lang="en-US" cap="none" sz="800" b="1" i="0" u="none" baseline="0">
                        <a:solidFill>
                          <a:srgbClr val="000000"/>
                        </a:solidFill>
                        <a:latin typeface="ＭＳ Ｐゴシック"/>
                        <a:ea typeface="ＭＳ Ｐゴシック"/>
                        <a:cs typeface="ＭＳ Ｐゴシック"/>
                      </a:rPr>
                      <a:t>％）</a:t>
                    </a:r>
                  </a:p>
                </c:rich>
              </c:tx>
              <c:numFmt formatCode="General" sourceLinked="1"/>
              <c:showLegendKey val="0"/>
              <c:showVal val="0"/>
              <c:showBubbleSize val="0"/>
              <c:showCatName val="1"/>
              <c:showSerName val="0"/>
              <c:showPercent val="0"/>
            </c:dLbl>
            <c:dLbl>
              <c:idx val="3"/>
              <c:tx>
                <c:rich>
                  <a:bodyPr vert="horz" rot="0" anchor="ctr"/>
                  <a:lstStyle/>
                  <a:p>
                    <a:pPr algn="ctr">
                      <a:defRPr/>
                    </a:pPr>
                    <a:r>
                      <a:rPr lang="en-US" cap="none" sz="800" b="1" i="0" u="none" baseline="0">
                        <a:solidFill>
                          <a:srgbClr val="000000"/>
                        </a:solidFill>
                      </a:rPr>
                      <a:t>その他</a:t>
                    </a:r>
                    <a:r>
                      <a:rPr lang="en-US" cap="none" sz="800" b="1" i="0" u="none" baseline="0">
                        <a:solidFill>
                          <a:srgbClr val="000000"/>
                        </a:solidFill>
                      </a:rPr>
                      <a:t>
</a:t>
                    </a:r>
                    <a:r>
                      <a:rPr lang="en-US" cap="none" sz="800" b="1" i="0" u="none" baseline="0">
                        <a:solidFill>
                          <a:srgbClr val="000000"/>
                        </a:solidFill>
                      </a:rPr>
                      <a:t>8.7%
</a:t>
                    </a:r>
                    <a:r>
                      <a:rPr lang="en-US" cap="none" sz="800" b="1" i="0" u="none" baseline="0">
                        <a:solidFill>
                          <a:srgbClr val="000000"/>
                        </a:solidFill>
                      </a:rPr>
                      <a:t>(8.2%)
</a:t>
                    </a:r>
                  </a:p>
                </c:rich>
              </c:tx>
              <c:numFmt formatCode="General" sourceLinked="1"/>
              <c:showLegendKey val="0"/>
              <c:showVal val="0"/>
              <c:showBubbleSize val="0"/>
              <c:showCatName val="1"/>
              <c:showSerName val="0"/>
              <c:showPercent val="0"/>
            </c:dLbl>
            <c:dLbl>
              <c:idx val="4"/>
              <c:delete val="1"/>
            </c:dLbl>
            <c:dLbl>
              <c:idx val="5"/>
              <c:delete val="1"/>
            </c:dLbl>
            <c:numFmt formatCode="General" sourceLinked="1"/>
            <c:txPr>
              <a:bodyPr vert="horz" rot="0" anchor="ctr"/>
              <a:lstStyle/>
              <a:p>
                <a:pPr algn="ctr">
                  <a:defRPr lang="en-US" cap="none" sz="900" b="0" i="0" u="none" baseline="0">
                    <a:solidFill>
                      <a:srgbClr val="333333"/>
                    </a:solidFill>
                    <a:latin typeface="ＭＳ Ｐゴシック"/>
                    <a:ea typeface="ＭＳ Ｐゴシック"/>
                    <a:cs typeface="ＭＳ Ｐゴシック"/>
                  </a:defRPr>
                </a:pPr>
              </a:p>
            </c:txPr>
            <c:showLegendKey val="0"/>
            <c:showVal val="1"/>
            <c:showBubbleSize val="0"/>
            <c:showCatName val="0"/>
            <c:showSerName val="0"/>
            <c:showLeaderLines val="0"/>
            <c:showPercent val="0"/>
          </c:dLbls>
          <c:cat>
            <c:strRef>
              <c:f>'図１'!$B$3:$G$3</c:f>
              <c:strCache/>
            </c:strRef>
          </c:cat>
          <c:val>
            <c:numRef>
              <c:f>'図１'!$B$6:$G$6</c:f>
              <c:numCache/>
            </c:numRef>
          </c:val>
        </c:ser>
        <c:ser>
          <c:idx val="3"/>
          <c:order val="2"/>
          <c:spPr>
            <a:solidFill>
              <a:srgbClr val="CCFF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FF"/>
              </a:solidFill>
              <a:ln w="3175">
                <a:solidFill>
                  <a:srgbClr val="000000"/>
                </a:solidFill>
              </a:ln>
            </c:spPr>
          </c:dPt>
          <c:dPt>
            <c:idx val="1"/>
            <c:spPr>
              <a:solidFill>
                <a:srgbClr val="CCFFFF"/>
              </a:solidFill>
              <a:ln w="3175">
                <a:solidFill>
                  <a:srgbClr val="000000"/>
                </a:solidFill>
              </a:ln>
            </c:spPr>
          </c:dPt>
          <c:dPt>
            <c:idx val="2"/>
            <c:spPr>
              <a:solidFill>
                <a:srgbClr val="CCFFFF"/>
              </a:solidFill>
              <a:ln w="3175">
                <a:solidFill>
                  <a:srgbClr val="000000"/>
                </a:solidFill>
              </a:ln>
            </c:spPr>
          </c:dPt>
          <c:dPt>
            <c:idx val="3"/>
            <c:spPr>
              <a:solidFill>
                <a:srgbClr val="CCFFFF"/>
              </a:solidFill>
              <a:ln w="3175">
                <a:solidFill>
                  <a:srgbClr val="000000"/>
                </a:solidFill>
              </a:ln>
            </c:spPr>
          </c:dPt>
          <c:dPt>
            <c:idx val="4"/>
            <c:spPr>
              <a:solidFill>
                <a:srgbClr val="FCD5B5"/>
              </a:solidFill>
              <a:ln w="3175">
                <a:solidFill>
                  <a:srgbClr val="000000"/>
                </a:solidFill>
              </a:ln>
            </c:spPr>
          </c:dPt>
          <c:dPt>
            <c:idx val="5"/>
            <c:spPr>
              <a:solidFill>
                <a:srgbClr val="E6B9B8"/>
              </a:solidFill>
              <a:ln w="3175">
                <a:solidFill>
                  <a:srgbClr val="000000"/>
                </a:solidFill>
              </a:ln>
            </c:spPr>
          </c:dPt>
          <c:cat>
            <c:strRef>
              <c:f>'図１'!$B$3:$G$3</c:f>
              <c:strCache/>
            </c:strRef>
          </c:cat>
          <c:val>
            <c:numRef>
              <c:f>'図１'!$B$7:$G$7</c:f>
              <c:numCache/>
            </c:numRef>
          </c:val>
        </c:ser>
        <c:holeSize val="20"/>
      </c:doughnut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425"/>
          <c:y val="0.092"/>
          <c:w val="0.60625"/>
          <c:h val="0.81275"/>
        </c:manualLayout>
      </c:layout>
      <c:doughnut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EB4E3"/>
              </a:solidFill>
              <a:ln w="12700">
                <a:solidFill>
                  <a:srgbClr val="000000"/>
                </a:solidFill>
              </a:ln>
            </c:spPr>
          </c:dPt>
          <c:dPt>
            <c:idx val="1"/>
            <c:spPr>
              <a:solidFill>
                <a:srgbClr val="F8FDB5"/>
              </a:solidFill>
              <a:ln w="12700">
                <a:solidFill>
                  <a:srgbClr val="000000"/>
                </a:solidFill>
              </a:ln>
            </c:spPr>
          </c:dPt>
          <c:dPt>
            <c:idx val="2"/>
            <c:spPr>
              <a:solidFill>
                <a:srgbClr val="FDEADA"/>
              </a:solidFill>
              <a:ln w="12700">
                <a:solidFill>
                  <a:srgbClr val="000000"/>
                </a:solidFill>
              </a:ln>
            </c:spPr>
          </c:dPt>
          <c:dPt>
            <c:idx val="3"/>
            <c:spPr>
              <a:solidFill>
                <a:srgbClr val="C6D9F1"/>
              </a:solidFill>
              <a:ln w="12700">
                <a:solidFill>
                  <a:srgbClr val="000000"/>
                </a:solidFill>
              </a:ln>
            </c:spPr>
          </c:dPt>
          <c:dPt>
            <c:idx val="4"/>
            <c:spPr>
              <a:solidFill>
                <a:srgbClr val="4BACC6"/>
              </a:solidFill>
              <a:ln w="12700">
                <a:solidFill>
                  <a:srgbClr val="000000"/>
                </a:solidFill>
              </a:ln>
            </c:spPr>
          </c:dPt>
          <c:dLbls>
            <c:dLbl>
              <c:idx val="0"/>
              <c:layout>
                <c:manualLayout>
                  <c:x val="0"/>
                  <c:y val="0"/>
                </c:manualLayout>
              </c:layout>
              <c:tx>
                <c:rich>
                  <a:bodyPr vert="horz" rot="0" anchor="ctr"/>
                  <a:lstStyle/>
                  <a:p>
                    <a:pPr algn="ctr">
                      <a:defRPr/>
                    </a:pPr>
                    <a:r>
                      <a:rPr lang="en-US" cap="none" sz="900" b="1" i="0" u="none" baseline="0">
                        <a:solidFill>
                          <a:srgbClr val="000000"/>
                        </a:solidFill>
                      </a:rPr>
                      <a:t>県支出金</a:t>
                    </a:r>
                    <a:r>
                      <a:rPr lang="en-US" cap="none" sz="900" b="1" i="0" u="none" baseline="0">
                        <a:solidFill>
                          <a:srgbClr val="000000"/>
                        </a:solidFill>
                      </a:rPr>
                      <a:t>
</a:t>
                    </a:r>
                    <a:r>
                      <a:rPr lang="en-US" cap="none" sz="900" b="1" i="0" u="none" baseline="0">
                        <a:solidFill>
                          <a:srgbClr val="000000"/>
                        </a:solidFill>
                      </a:rPr>
                      <a:t>54.7</a:t>
                    </a:r>
                    <a:r>
                      <a:rPr lang="en-US" cap="none" sz="900" b="1" i="0" u="none" baseline="0">
                        <a:solidFill>
                          <a:srgbClr val="000000"/>
                        </a:solidFill>
                      </a:rPr>
                      <a:t>％</a:t>
                    </a:r>
                    <a:r>
                      <a:rPr lang="en-US" cap="none" sz="900" b="1" i="0" u="none" baseline="0">
                        <a:solidFill>
                          <a:srgbClr val="000000"/>
                        </a:solidFill>
                      </a:rPr>
                      <a:t>
</a:t>
                    </a:r>
                    <a:r>
                      <a:rPr lang="en-US" cap="none" sz="900" b="1" i="0" u="none" baseline="0">
                        <a:solidFill>
                          <a:srgbClr val="000000"/>
                        </a:solidFill>
                      </a:rPr>
                      <a:t>（</a:t>
                    </a:r>
                    <a:r>
                      <a:rPr lang="en-US" cap="none" sz="900" b="1" i="0" u="none" baseline="0">
                        <a:solidFill>
                          <a:srgbClr val="000000"/>
                        </a:solidFill>
                      </a:rPr>
                      <a:t>53.6</a:t>
                    </a:r>
                    <a:r>
                      <a:rPr lang="en-US" cap="none" sz="900" b="1" i="0" u="none" baseline="0">
                        <a:solidFill>
                          <a:srgbClr val="000000"/>
                        </a:solidFill>
                      </a:rPr>
                      <a:t>％）</a:t>
                    </a:r>
                  </a:p>
                </c:rich>
              </c:tx>
              <c:numFmt formatCode="General" sourceLinked="0"/>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1" i="0" u="none" baseline="0">
                        <a:solidFill>
                          <a:srgbClr val="000000"/>
                        </a:solidFill>
                      </a:rPr>
                      <a:t>市町支出金</a:t>
                    </a:r>
                    <a:r>
                      <a:rPr lang="en-US" cap="none" sz="900" b="1" i="0" u="none" baseline="0">
                        <a:solidFill>
                          <a:srgbClr val="000000"/>
                        </a:solidFill>
                      </a:rPr>
                      <a:t>
</a:t>
                    </a:r>
                    <a:r>
                      <a:rPr lang="en-US" cap="none" sz="900" b="1" i="0" u="none" baseline="0">
                        <a:solidFill>
                          <a:srgbClr val="000000"/>
                        </a:solidFill>
                      </a:rPr>
                      <a:t>28.6</a:t>
                    </a:r>
                    <a:r>
                      <a:rPr lang="en-US" cap="none" sz="900" b="1" i="0" u="none" baseline="0">
                        <a:solidFill>
                          <a:srgbClr val="000000"/>
                        </a:solidFill>
                      </a:rPr>
                      <a:t>％</a:t>
                    </a:r>
                    <a:r>
                      <a:rPr lang="en-US" cap="none" sz="900" b="1" i="0" u="none" baseline="0">
                        <a:solidFill>
                          <a:srgbClr val="000000"/>
                        </a:solidFill>
                      </a:rPr>
                      <a:t>
</a:t>
                    </a:r>
                    <a:r>
                      <a:rPr lang="en-US" cap="none" sz="900" b="1" i="0" u="none" baseline="0">
                        <a:solidFill>
                          <a:srgbClr val="000000"/>
                        </a:solidFill>
                      </a:rPr>
                      <a:t>（</a:t>
                    </a:r>
                    <a:r>
                      <a:rPr lang="en-US" cap="none" sz="900" b="1" i="0" u="none" baseline="0">
                        <a:solidFill>
                          <a:srgbClr val="000000"/>
                        </a:solidFill>
                      </a:rPr>
                      <a:t>27.2</a:t>
                    </a:r>
                    <a:r>
                      <a:rPr lang="en-US" cap="none" sz="900" b="1" i="0" u="none" baseline="0">
                        <a:solidFill>
                          <a:srgbClr val="000000"/>
                        </a:solidFill>
                      </a:rPr>
                      <a:t>％）</a:t>
                    </a:r>
                  </a:p>
                </c:rich>
              </c:tx>
              <c:numFmt formatCode="General" sourceLinked="0"/>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1" i="0" u="none" baseline="0">
                        <a:solidFill>
                          <a:srgbClr val="000000"/>
                        </a:solidFill>
                      </a:rPr>
                      <a:t>国庫補助金</a:t>
                    </a:r>
                    <a:r>
                      <a:rPr lang="en-US" cap="none" sz="900" b="1" i="0" u="none" baseline="0">
                        <a:solidFill>
                          <a:srgbClr val="000000"/>
                        </a:solidFill>
                      </a:rPr>
                      <a:t>
</a:t>
                    </a:r>
                    <a:r>
                      <a:rPr lang="en-US" cap="none" sz="900" b="1" i="0" u="none" baseline="0">
                        <a:solidFill>
                          <a:srgbClr val="000000"/>
                        </a:solidFill>
                      </a:rPr>
                      <a:t>12.9</a:t>
                    </a:r>
                    <a:r>
                      <a:rPr lang="en-US" cap="none" sz="900" b="1" i="0" u="none" baseline="0">
                        <a:solidFill>
                          <a:srgbClr val="000000"/>
                        </a:solidFill>
                      </a:rPr>
                      <a:t>％</a:t>
                    </a:r>
                    <a:r>
                      <a:rPr lang="en-US" cap="none" sz="900" b="1" i="0" u="none" baseline="0">
                        <a:solidFill>
                          <a:srgbClr val="000000"/>
                        </a:solidFill>
                      </a:rPr>
                      <a:t>
</a:t>
                    </a:r>
                    <a:r>
                      <a:rPr lang="en-US" cap="none" sz="900" b="1" i="0" u="none" baseline="0">
                        <a:solidFill>
                          <a:srgbClr val="000000"/>
                        </a:solidFill>
                      </a:rPr>
                      <a:t>（</a:t>
                    </a:r>
                    <a:r>
                      <a:rPr lang="en-US" cap="none" sz="900" b="1" i="0" u="none" baseline="0">
                        <a:solidFill>
                          <a:srgbClr val="000000"/>
                        </a:solidFill>
                      </a:rPr>
                      <a:t>11.8</a:t>
                    </a:r>
                    <a:r>
                      <a:rPr lang="en-US" cap="none" sz="900" b="1" i="0" u="none" baseline="0">
                        <a:solidFill>
                          <a:srgbClr val="000000"/>
                        </a:solidFill>
                      </a:rPr>
                      <a:t>％）</a:t>
                    </a:r>
                  </a:p>
                </c:rich>
              </c:tx>
              <c:numFmt formatCode="General" sourceLinked="0"/>
              <c:showLegendKey val="0"/>
              <c:showVal val="0"/>
              <c:showBubbleSize val="0"/>
              <c:showCatName val="1"/>
              <c:showSerName val="0"/>
              <c:showPercent val="0"/>
            </c:dLbl>
            <c:dLbl>
              <c:idx val="3"/>
              <c:delete val="1"/>
            </c:dLbl>
            <c:dLbl>
              <c:idx val="4"/>
              <c:delete val="1"/>
            </c:dLbl>
            <c:numFmt formatCode="General" sourceLinked="0"/>
            <c:showLegendKey val="0"/>
            <c:showVal val="1"/>
            <c:showBubbleSize val="0"/>
            <c:showCatName val="0"/>
            <c:showSerName val="0"/>
            <c:showLeaderLines val="0"/>
            <c:showPercent val="0"/>
          </c:dLbls>
          <c:cat>
            <c:strRef>
              <c:f>'図2'!$B$1:$F$1</c:f>
              <c:strCache/>
            </c:strRef>
          </c:cat>
          <c:val>
            <c:numRef>
              <c:f>'図2'!$B$2:$F$2</c:f>
              <c:numCache/>
            </c:numRef>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2</xdr:col>
      <xdr:colOff>9525</xdr:colOff>
      <xdr:row>5</xdr:row>
      <xdr:rowOff>0</xdr:rowOff>
    </xdr:to>
    <xdr:sp>
      <xdr:nvSpPr>
        <xdr:cNvPr id="1" name="直線コネクタ 2"/>
        <xdr:cNvSpPr>
          <a:spLocks/>
        </xdr:cNvSpPr>
      </xdr:nvSpPr>
      <xdr:spPr>
        <a:xfrm>
          <a:off x="400050" y="695325"/>
          <a:ext cx="885825"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12</xdr:row>
      <xdr:rowOff>133350</xdr:rowOff>
    </xdr:from>
    <xdr:to>
      <xdr:col>7</xdr:col>
      <xdr:colOff>114300</xdr:colOff>
      <xdr:row>17</xdr:row>
      <xdr:rowOff>95250</xdr:rowOff>
    </xdr:to>
    <xdr:sp>
      <xdr:nvSpPr>
        <xdr:cNvPr id="2" name="テキスト ボックス 12"/>
        <xdr:cNvSpPr txBox="1">
          <a:spLocks noChangeArrowheads="1"/>
        </xdr:cNvSpPr>
      </xdr:nvSpPr>
      <xdr:spPr>
        <a:xfrm>
          <a:off x="2428875" y="2505075"/>
          <a:ext cx="2638425" cy="819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１行目の対前年度増加率</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全国値　は手入力。</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Calibri"/>
              <a:ea typeface="Calibri"/>
              <a:cs typeface="Calibri"/>
            </a:rPr>
            <a:t>D5</a:t>
          </a:r>
          <a:r>
            <a:rPr lang="en-US" cap="none" sz="1100" b="1" i="0" u="none" baseline="0">
              <a:solidFill>
                <a:srgbClr val="FF0000"/>
              </a:solidFill>
              <a:latin typeface="ＭＳ Ｐゴシック"/>
              <a:ea typeface="ＭＳ Ｐゴシック"/>
              <a:cs typeface="ＭＳ Ｐゴシック"/>
            </a:rPr>
            <a:t>」、「Ｉ</a:t>
          </a:r>
          <a:r>
            <a:rPr lang="en-US" cap="none" sz="1100" b="1" i="0" u="none" baseline="0">
              <a:solidFill>
                <a:srgbClr val="FF0000"/>
              </a:solidFill>
              <a:latin typeface="Calibri"/>
              <a:ea typeface="Calibri"/>
              <a:cs typeface="Calibri"/>
            </a:rPr>
            <a:t>5]</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Calibri"/>
              <a:ea typeface="Calibri"/>
              <a:cs typeface="Calibri"/>
            </a:rPr>
            <a:t>H9]</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Calibri"/>
              <a:ea typeface="Calibri"/>
              <a:cs typeface="Calibri"/>
            </a:rPr>
            <a:t>I9</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533400</xdr:colOff>
      <xdr:row>0</xdr:row>
      <xdr:rowOff>85725</xdr:rowOff>
    </xdr:from>
    <xdr:to>
      <xdr:col>12</xdr:col>
      <xdr:colOff>590550</xdr:colOff>
      <xdr:row>2</xdr:row>
      <xdr:rowOff>266700</xdr:rowOff>
    </xdr:to>
    <xdr:sp>
      <xdr:nvSpPr>
        <xdr:cNvPr id="1" name="テキスト ボックス 2"/>
        <xdr:cNvSpPr txBox="1">
          <a:spLocks noChangeArrowheads="1"/>
        </xdr:cNvSpPr>
      </xdr:nvSpPr>
      <xdr:spPr>
        <a:xfrm>
          <a:off x="5257800" y="85725"/>
          <a:ext cx="280035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小学校　構成比</a:t>
          </a:r>
          <a:r>
            <a:rPr lang="en-US" cap="none" sz="1100" b="0" i="0" u="none" baseline="0">
              <a:solidFill>
                <a:srgbClr val="FF0000"/>
              </a:solidFill>
              <a:latin typeface="Calibri"/>
              <a:ea typeface="Calibri"/>
              <a:cs typeface="Calibri"/>
            </a:rPr>
            <a:t>100</a:t>
          </a:r>
          <a:r>
            <a:rPr lang="en-US" cap="none" sz="1100" b="0" i="0" u="none" baseline="0">
              <a:solidFill>
                <a:srgbClr val="FF0000"/>
              </a:solidFill>
              <a:latin typeface="ＭＳ Ｐゴシック"/>
              <a:ea typeface="ＭＳ Ｐゴシック"/>
              <a:cs typeface="ＭＳ Ｐゴシック"/>
            </a:rPr>
            <a:t>にするため</a:t>
          </a:r>
          <a:r>
            <a:rPr lang="en-US" cap="none" sz="1100" b="0" i="0" u="none" baseline="0">
              <a:solidFill>
                <a:srgbClr val="FF0000"/>
              </a:solidFill>
              <a:latin typeface="Calibri"/>
              <a:ea typeface="Calibri"/>
              <a:cs typeface="Calibri"/>
            </a:rPr>
            <a:t>-0.1</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0.396</cdr:x>
      <cdr:y>0.3945</cdr:y>
    </cdr:from>
    <cdr:to>
      <cdr:x>0.68775</cdr:x>
      <cdr:y>0.58975</cdr:y>
    </cdr:to>
    <cdr:sp>
      <cdr:nvSpPr>
        <cdr:cNvPr id="1" name="テキスト ボックス 1"/>
        <cdr:cNvSpPr txBox="1">
          <a:spLocks noChangeArrowheads="1"/>
        </cdr:cNvSpPr>
      </cdr:nvSpPr>
      <cdr:spPr>
        <a:xfrm>
          <a:off x="1457325" y="1171575"/>
          <a:ext cx="1076325" cy="581025"/>
        </a:xfrm>
        <a:prstGeom prst="rect">
          <a:avLst/>
        </a:prstGeom>
        <a:noFill/>
        <a:ln w="9525" cmpd="sng">
          <a:noFill/>
        </a:ln>
      </cdr:spPr>
      <cdr:txBody>
        <a:bodyPr vertOverflow="clip" wrap="square"/>
        <a:p>
          <a:pPr algn="l">
            <a:defRPr/>
          </a:pPr>
          <a:r>
            <a:rPr lang="en-US" cap="none" sz="900" b="1" i="0" u="none" baseline="0">
              <a:solidFill>
                <a:srgbClr val="000000"/>
              </a:solidFill>
              <a:latin typeface="ＭＳ Ｐゴシック"/>
              <a:ea typeface="ＭＳ Ｐゴシック"/>
              <a:cs typeface="ＭＳ Ｐゴシック"/>
            </a:rPr>
            <a:t>教育費</a:t>
          </a:r>
          <a:r>
            <a:rPr lang="en-US" cap="none" sz="900" b="1" i="0" u="none" baseline="0">
              <a:solidFill>
                <a:srgbClr val="000000"/>
              </a:solidFill>
              <a:latin typeface="ＭＳ Ｐゴシック"/>
              <a:ea typeface="ＭＳ Ｐゴシック"/>
              <a:cs typeface="ＭＳ Ｐゴシック"/>
            </a:rPr>
            <a:t>総額</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184,853,627</a:t>
          </a:r>
          <a:r>
            <a:rPr lang="en-US" cap="none" sz="900" b="1" i="0" u="none" baseline="0">
              <a:solidFill>
                <a:srgbClr val="000000"/>
              </a:solidFill>
              <a:latin typeface="ＭＳ Ｐゴシック"/>
              <a:ea typeface="ＭＳ Ｐゴシック"/>
              <a:cs typeface="ＭＳ Ｐゴシック"/>
            </a:rPr>
            <a:t>千</a:t>
          </a:r>
          <a:r>
            <a:rPr lang="en-US" cap="none" sz="900" b="1" i="0" u="none" baseline="0">
              <a:solidFill>
                <a:srgbClr val="000000"/>
              </a:solidFill>
              <a:latin typeface="ＭＳ Ｐゴシック"/>
              <a:ea typeface="ＭＳ Ｐゴシック"/>
              <a:cs typeface="ＭＳ Ｐゴシック"/>
            </a:rPr>
            <a:t>円</a:t>
          </a:r>
          <a:r>
            <a:rPr lang="en-US" cap="none" sz="900" b="1" i="0" u="none" baseline="0">
              <a:solidFill>
                <a:srgbClr val="000000"/>
              </a:solidFill>
              <a:latin typeface="Calibri"/>
              <a:ea typeface="Calibri"/>
              <a:cs typeface="Calibri"/>
            </a:rPr>
            <a:t>(191,113,147</a:t>
          </a:r>
          <a:r>
            <a:rPr lang="en-US" cap="none" sz="900" b="1" i="0" u="none" baseline="0">
              <a:solidFill>
                <a:srgbClr val="000000"/>
              </a:solidFill>
              <a:latin typeface="ＭＳ Ｐゴシック"/>
              <a:ea typeface="ＭＳ Ｐゴシック"/>
              <a:cs typeface="ＭＳ Ｐゴシック"/>
            </a:rPr>
            <a:t>千円</a:t>
          </a:r>
          <a:r>
            <a:rPr lang="en-US" cap="none" sz="900" b="1" i="0" u="none" baseline="0">
              <a:solidFill>
                <a:srgbClr val="000000"/>
              </a:solidFill>
              <a:latin typeface="Calibri"/>
              <a:ea typeface="Calibri"/>
              <a:cs typeface="Calibri"/>
            </a:rPr>
            <a:t>)</a:t>
          </a:r>
          <a:r>
            <a:rPr lang="en-US" cap="none" sz="900" b="1" i="0" u="none" baseline="0">
              <a:solidFill>
                <a:srgbClr val="000000"/>
              </a:solidFill>
              <a:latin typeface="Calibri"/>
              <a:ea typeface="Calibri"/>
              <a:cs typeface="Calibri"/>
            </a:rPr>
            <a:t>
</a:t>
          </a:r>
        </a:p>
      </cdr:txBody>
    </cdr:sp>
  </cdr:relSizeAnchor>
  <cdr:relSizeAnchor xmlns:cdr="http://schemas.openxmlformats.org/drawingml/2006/chartDrawing">
    <cdr:from>
      <cdr:x>0.29775</cdr:x>
      <cdr:y>0.22</cdr:y>
    </cdr:from>
    <cdr:to>
      <cdr:x>0.44925</cdr:x>
      <cdr:y>0.39125</cdr:y>
    </cdr:to>
    <cdr:pic>
      <cdr:nvPicPr>
        <cdr:cNvPr id="2" name="chart"/>
        <cdr:cNvPicPr preferRelativeResize="1">
          <a:picLocks noChangeAspect="1"/>
        </cdr:cNvPicPr>
      </cdr:nvPicPr>
      <cdr:blipFill>
        <a:blip r:embed="rId1"/>
        <a:stretch>
          <a:fillRect/>
        </a:stretch>
      </cdr:blipFill>
      <cdr:spPr>
        <a:xfrm>
          <a:off x="1095375" y="647700"/>
          <a:ext cx="561975" cy="504825"/>
        </a:xfrm>
        <a:prstGeom prst="rect">
          <a:avLst/>
        </a:prstGeom>
        <a:noFill/>
        <a:ln w="9525" cmpd="sng">
          <a:noFill/>
        </a:ln>
      </cdr:spPr>
    </cdr:pic>
  </cdr:relSizeAnchor>
  <cdr:relSizeAnchor xmlns:cdr="http://schemas.openxmlformats.org/drawingml/2006/chartDrawing">
    <cdr:from>
      <cdr:x>0.39675</cdr:x>
      <cdr:y>0.14275</cdr:y>
    </cdr:from>
    <cdr:to>
      <cdr:x>0.5475</cdr:x>
      <cdr:y>0.314</cdr:y>
    </cdr:to>
    <cdr:pic>
      <cdr:nvPicPr>
        <cdr:cNvPr id="3" name="chart"/>
        <cdr:cNvPicPr preferRelativeResize="1">
          <a:picLocks noChangeAspect="1"/>
        </cdr:cNvPicPr>
      </cdr:nvPicPr>
      <cdr:blipFill>
        <a:blip r:embed="rId2"/>
        <a:stretch>
          <a:fillRect/>
        </a:stretch>
      </cdr:blipFill>
      <cdr:spPr>
        <a:xfrm>
          <a:off x="1457325" y="419100"/>
          <a:ext cx="552450" cy="504825"/>
        </a:xfrm>
        <a:prstGeom prst="rect">
          <a:avLst/>
        </a:prstGeom>
        <a:noFill/>
        <a:ln w="9525" cmpd="sng">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9</xdr:row>
      <xdr:rowOff>85725</xdr:rowOff>
    </xdr:from>
    <xdr:to>
      <xdr:col>4</xdr:col>
      <xdr:colOff>1028700</xdr:colOff>
      <xdr:row>26</xdr:row>
      <xdr:rowOff>142875</xdr:rowOff>
    </xdr:to>
    <xdr:graphicFrame>
      <xdr:nvGraphicFramePr>
        <xdr:cNvPr id="1" name="グラフ 7"/>
        <xdr:cNvGraphicFramePr/>
      </xdr:nvGraphicFramePr>
      <xdr:xfrm>
        <a:off x="857250" y="1562100"/>
        <a:ext cx="3695700" cy="2971800"/>
      </xdr:xfrm>
      <a:graphic>
        <a:graphicData uri="http://schemas.openxmlformats.org/drawingml/2006/chart">
          <c:chart xmlns:c="http://schemas.openxmlformats.org/drawingml/2006/chart" r:id="rId1"/>
        </a:graphicData>
      </a:graphic>
    </xdr:graphicFrame>
    <xdr:clientData/>
  </xdr:twoCellAnchor>
  <xdr:twoCellAnchor>
    <xdr:from>
      <xdr:col>4</xdr:col>
      <xdr:colOff>142875</xdr:colOff>
      <xdr:row>20</xdr:row>
      <xdr:rowOff>104775</xdr:rowOff>
    </xdr:from>
    <xdr:to>
      <xdr:col>4</xdr:col>
      <xdr:colOff>781050</xdr:colOff>
      <xdr:row>23</xdr:row>
      <xdr:rowOff>66675</xdr:rowOff>
    </xdr:to>
    <xdr:sp>
      <xdr:nvSpPr>
        <xdr:cNvPr id="2" name="AutoShape 1"/>
        <xdr:cNvSpPr>
          <a:spLocks/>
        </xdr:cNvSpPr>
      </xdr:nvSpPr>
      <xdr:spPr>
        <a:xfrm>
          <a:off x="3667125" y="3467100"/>
          <a:ext cx="638175" cy="476250"/>
        </a:xfrm>
        <a:prstGeom prst="borderCallout1">
          <a:avLst>
            <a:gd name="adj1" fmla="val -102111"/>
            <a:gd name="adj2" fmla="val -9999"/>
            <a:gd name="adj3" fmla="val -39236"/>
            <a:gd name="adj4" fmla="val 3254"/>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学校教育費</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83.9</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8</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2</a:t>
          </a:r>
          <a:r>
            <a:rPr lang="en-US" cap="none" sz="6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704850</xdr:colOff>
      <xdr:row>24</xdr:row>
      <xdr:rowOff>133350</xdr:rowOff>
    </xdr:from>
    <xdr:to>
      <xdr:col>5</xdr:col>
      <xdr:colOff>247650</xdr:colOff>
      <xdr:row>26</xdr:row>
      <xdr:rowOff>95250</xdr:rowOff>
    </xdr:to>
    <xdr:sp>
      <xdr:nvSpPr>
        <xdr:cNvPr id="3" name="テキスト ボックス 1"/>
        <xdr:cNvSpPr txBox="1">
          <a:spLocks noChangeArrowheads="1"/>
        </xdr:cNvSpPr>
      </xdr:nvSpPr>
      <xdr:spPr>
        <a:xfrm>
          <a:off x="3133725" y="4181475"/>
          <a:ext cx="1790700" cy="3048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注（　）は</a:t>
          </a:r>
          <a:r>
            <a:rPr lang="en-US" cap="none" sz="900" b="0" i="0" u="none" baseline="0">
              <a:solidFill>
                <a:srgbClr val="000000"/>
              </a:solidFill>
              <a:latin typeface="ＭＳ Ｐゴシック"/>
              <a:ea typeface="ＭＳ Ｐゴシック"/>
              <a:cs typeface="ＭＳ Ｐゴシック"/>
            </a:rPr>
            <a:t>令和元</a:t>
          </a:r>
          <a:r>
            <a:rPr lang="en-US" cap="none" sz="900" b="0" i="0" u="none" baseline="0">
              <a:solidFill>
                <a:srgbClr val="000000"/>
              </a:solidFill>
              <a:latin typeface="ＭＳ Ｐゴシック"/>
              <a:ea typeface="ＭＳ Ｐゴシック"/>
              <a:cs typeface="ＭＳ Ｐゴシック"/>
            </a:rPr>
            <a:t>会計年度</a:t>
          </a:r>
          <a:r>
            <a:rPr lang="en-US" cap="none" sz="9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581025</xdr:colOff>
      <xdr:row>22</xdr:row>
      <xdr:rowOff>28575</xdr:rowOff>
    </xdr:from>
    <xdr:to>
      <xdr:col>8</xdr:col>
      <xdr:colOff>457200</xdr:colOff>
      <xdr:row>30</xdr:row>
      <xdr:rowOff>95250</xdr:rowOff>
    </xdr:to>
    <xdr:sp>
      <xdr:nvSpPr>
        <xdr:cNvPr id="1" name="テキスト ボックス 1"/>
        <xdr:cNvSpPr txBox="1">
          <a:spLocks noChangeArrowheads="1"/>
        </xdr:cNvSpPr>
      </xdr:nvSpPr>
      <xdr:spPr>
        <a:xfrm>
          <a:off x="4038600" y="3981450"/>
          <a:ext cx="1857375" cy="1438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FF0000"/>
              </a:solidFill>
              <a:latin typeface="Calibri"/>
              <a:ea typeface="Calibri"/>
              <a:cs typeface="Calibri"/>
            </a:rPr>
            <a:t>100</a:t>
          </a:r>
          <a:r>
            <a:rPr lang="en-US" cap="none" sz="1400" b="0" i="0" u="none" baseline="0">
              <a:solidFill>
                <a:srgbClr val="FF0000"/>
              </a:solidFill>
              <a:latin typeface="ＭＳ Ｐゴシック"/>
              <a:ea typeface="ＭＳ Ｐゴシック"/>
              <a:cs typeface="ＭＳ Ｐゴシック"/>
            </a:rPr>
            <a:t>にするために</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ＭＳ Ｐゴシック"/>
              <a:ea typeface="ＭＳ Ｐゴシック"/>
              <a:cs typeface="ＭＳ Ｐゴシック"/>
            </a:rPr>
            <a:t>県支出金構成比</a:t>
          </a:r>
          <a:r>
            <a:rPr lang="en-US" cap="none" sz="1400" b="0" i="0" u="none" baseline="0">
              <a:solidFill>
                <a:srgbClr val="FF0000"/>
              </a:solidFill>
              <a:latin typeface="Calibri"/>
              <a:ea typeface="Calibri"/>
              <a:cs typeface="Calibri"/>
            </a:rPr>
            <a:t>54.6⇒54.7</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0.39425</cdr:x>
      <cdr:y>0.4145</cdr:y>
    </cdr:from>
    <cdr:to>
      <cdr:x>0.68825</cdr:x>
      <cdr:y>0.618</cdr:y>
    </cdr:to>
    <cdr:sp>
      <cdr:nvSpPr>
        <cdr:cNvPr id="1" name="テキスト ボックス 1"/>
        <cdr:cNvSpPr txBox="1">
          <a:spLocks noChangeArrowheads="1"/>
        </cdr:cNvSpPr>
      </cdr:nvSpPr>
      <cdr:spPr>
        <a:xfrm>
          <a:off x="1876425" y="1352550"/>
          <a:ext cx="1400175" cy="666750"/>
        </a:xfrm>
        <a:prstGeom prst="rect">
          <a:avLst/>
        </a:prstGeom>
        <a:noFill/>
        <a:ln w="9525" cmpd="sng">
          <a:noFill/>
        </a:ln>
      </cdr:spPr>
      <cdr:txBody>
        <a:bodyPr vertOverflow="clip" wrap="square"/>
        <a:p>
          <a:pPr algn="l">
            <a:defRPr/>
          </a:pPr>
          <a:r>
            <a:rPr lang="en-US" cap="none" sz="900" b="1" i="0" u="none" baseline="0">
              <a:solidFill>
                <a:srgbClr val="000000"/>
              </a:solidFill>
              <a:latin typeface="ＭＳ 明朝"/>
              <a:ea typeface="ＭＳ 明朝"/>
              <a:cs typeface="ＭＳ 明朝"/>
            </a:rPr>
            <a:t>教育費</a:t>
          </a:r>
          <a:r>
            <a:rPr lang="en-US" cap="none" sz="900" b="1" i="0" u="none" baseline="0">
              <a:solidFill>
                <a:srgbClr val="000000"/>
              </a:solidFill>
              <a:latin typeface="ＭＳ 明朝"/>
              <a:ea typeface="ＭＳ 明朝"/>
              <a:cs typeface="ＭＳ 明朝"/>
            </a:rPr>
            <a:t>総額</a:t>
          </a:r>
          <a:r>
            <a:rPr lang="en-US" cap="none" sz="900" b="1" i="0" u="none" baseline="0">
              <a:solidFill>
                <a:srgbClr val="000000"/>
              </a:solidFill>
              <a:latin typeface="ＭＳ 明朝"/>
              <a:ea typeface="ＭＳ 明朝"/>
              <a:cs typeface="ＭＳ 明朝"/>
            </a:rPr>
            <a:t>
</a:t>
          </a:r>
          <a:r>
            <a:rPr lang="en-US" cap="none" sz="900" b="1" i="0" u="none" baseline="0">
              <a:solidFill>
                <a:srgbClr val="000000"/>
              </a:solidFill>
              <a:latin typeface="ＭＳ 明朝"/>
              <a:ea typeface="ＭＳ 明朝"/>
              <a:cs typeface="ＭＳ 明朝"/>
            </a:rPr>
            <a:t>184,853,627</a:t>
          </a:r>
          <a:r>
            <a:rPr lang="en-US" cap="none" sz="900" b="1" i="0" u="none" baseline="0">
              <a:solidFill>
                <a:srgbClr val="000000"/>
              </a:solidFill>
              <a:latin typeface="ＭＳ 明朝"/>
              <a:ea typeface="ＭＳ 明朝"/>
              <a:cs typeface="ＭＳ 明朝"/>
            </a:rPr>
            <a:t>千</a:t>
          </a:r>
          <a:r>
            <a:rPr lang="en-US" cap="none" sz="900" b="1" i="0" u="none" baseline="0">
              <a:solidFill>
                <a:srgbClr val="000000"/>
              </a:solidFill>
              <a:latin typeface="ＭＳ 明朝"/>
              <a:ea typeface="ＭＳ 明朝"/>
              <a:cs typeface="ＭＳ 明朝"/>
            </a:rPr>
            <a:t>円</a:t>
          </a:r>
          <a:r>
            <a:rPr lang="en-US" cap="none" sz="900" b="1" i="0" u="none" baseline="0">
              <a:solidFill>
                <a:srgbClr val="000000"/>
              </a:solidFill>
              <a:latin typeface="ＭＳ 明朝"/>
              <a:ea typeface="ＭＳ 明朝"/>
              <a:cs typeface="ＭＳ 明朝"/>
            </a:rPr>
            <a:t>(191,113,147</a:t>
          </a:r>
          <a:r>
            <a:rPr lang="en-US" cap="none" sz="900" b="1" i="0" u="none" baseline="0">
              <a:solidFill>
                <a:srgbClr val="000000"/>
              </a:solidFill>
              <a:latin typeface="ＭＳ 明朝"/>
              <a:ea typeface="ＭＳ 明朝"/>
              <a:cs typeface="ＭＳ 明朝"/>
            </a:rPr>
            <a:t>千円</a:t>
          </a:r>
          <a:r>
            <a:rPr lang="en-US" cap="none" sz="900" b="1" i="0" u="none" baseline="0">
              <a:solidFill>
                <a:srgbClr val="000000"/>
              </a:solidFill>
              <a:latin typeface="ＭＳ 明朝"/>
              <a:ea typeface="ＭＳ 明朝"/>
              <a:cs typeface="ＭＳ 明朝"/>
            </a:rPr>
            <a:t>)</a:t>
          </a:r>
          <a:r>
            <a:rPr lang="en-US" cap="none" sz="900" b="1" i="0" u="none" baseline="0">
              <a:solidFill>
                <a:srgbClr val="000000"/>
              </a:solidFill>
              <a:latin typeface="ＭＳ 明朝"/>
              <a:ea typeface="ＭＳ 明朝"/>
              <a:cs typeface="ＭＳ 明朝"/>
            </a:rPr>
            <a:t>
</a:t>
          </a:r>
        </a:p>
      </cdr:txBody>
    </cdr:sp>
  </cdr:relSizeAnchor>
  <cdr:relSizeAnchor xmlns:cdr="http://schemas.openxmlformats.org/drawingml/2006/chartDrawing">
    <cdr:from>
      <cdr:x>0.42875</cdr:x>
      <cdr:y>0.1335</cdr:y>
    </cdr:from>
    <cdr:to>
      <cdr:x>0.47725</cdr:x>
      <cdr:y>0.207</cdr:y>
    </cdr:to>
    <cdr:sp>
      <cdr:nvSpPr>
        <cdr:cNvPr id="2" name="直線矢印コネクタ 3"/>
        <cdr:cNvSpPr>
          <a:spLocks/>
        </cdr:cNvSpPr>
      </cdr:nvSpPr>
      <cdr:spPr>
        <a:xfrm>
          <a:off x="2038350" y="428625"/>
          <a:ext cx="228600" cy="238125"/>
        </a:xfrm>
        <a:prstGeom prst="straightConnector1">
          <a:avLst/>
        </a:prstGeom>
        <a:noFill/>
        <a:ln w="9525" cmpd="sng">
          <a:solidFill>
            <a:srgbClr val="000000"/>
          </a:solidFill>
          <a:headEnd type="none"/>
          <a:tailEnd type="triangl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0.5025</cdr:x>
      <cdr:y>0.15275</cdr:y>
    </cdr:from>
    <cdr:to>
      <cdr:x>0.6345</cdr:x>
      <cdr:y>0.207</cdr:y>
    </cdr:to>
    <cdr:sp>
      <cdr:nvSpPr>
        <cdr:cNvPr id="3" name="直線矢印コネクタ 7"/>
        <cdr:cNvSpPr>
          <a:spLocks/>
        </cdr:cNvSpPr>
      </cdr:nvSpPr>
      <cdr:spPr>
        <a:xfrm flipH="1">
          <a:off x="2390775" y="495300"/>
          <a:ext cx="628650" cy="180975"/>
        </a:xfrm>
        <a:prstGeom prst="straightConnector1">
          <a:avLst/>
        </a:prstGeom>
        <a:noFill/>
        <a:ln w="9525" cmpd="sng">
          <a:solidFill>
            <a:srgbClr val="000000"/>
          </a:solidFill>
          <a:headEnd type="none"/>
          <a:tailEnd type="triangl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0.64475</cdr:x>
      <cdr:y>0.0555</cdr:y>
    </cdr:from>
    <cdr:to>
      <cdr:x>0.79175</cdr:x>
      <cdr:y>0.26375</cdr:y>
    </cdr:to>
    <cdr:sp fLocksText="0">
      <cdr:nvSpPr>
        <cdr:cNvPr id="4" name="テキスト ボックス 13"/>
        <cdr:cNvSpPr txBox="1">
          <a:spLocks noChangeArrowheads="1"/>
        </cdr:cNvSpPr>
      </cdr:nvSpPr>
      <cdr:spPr>
        <a:xfrm>
          <a:off x="3076575" y="180975"/>
          <a:ext cx="704850" cy="676275"/>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0.626</cdr:x>
      <cdr:y>-0.011</cdr:y>
    </cdr:from>
    <cdr:to>
      <cdr:x>0.7765</cdr:x>
      <cdr:y>0.23875</cdr:y>
    </cdr:to>
    <cdr:sp>
      <cdr:nvSpPr>
        <cdr:cNvPr id="5" name="テキスト ボックス 14"/>
        <cdr:cNvSpPr txBox="1">
          <a:spLocks noChangeArrowheads="1"/>
        </cdr:cNvSpPr>
      </cdr:nvSpPr>
      <cdr:spPr>
        <a:xfrm>
          <a:off x="2981325" y="-28574"/>
          <a:ext cx="714375" cy="819150"/>
        </a:xfrm>
        <a:prstGeom prst="rect">
          <a:avLst/>
        </a:prstGeom>
        <a:noFill/>
        <a:ln w="9525" cmpd="sng">
          <a:noFill/>
        </a:ln>
      </cdr:spPr>
      <cdr:txBody>
        <a:bodyPr vertOverflow="clip" wrap="square"/>
        <a:p>
          <a:pPr algn="l">
            <a:defRPr/>
          </a:pPr>
          <a:r>
            <a:rPr lang="en-US" cap="none" sz="800" b="1" i="0" u="none" baseline="0">
              <a:solidFill>
                <a:srgbClr val="000000"/>
              </a:solidFill>
              <a:latin typeface="ＭＳ 明朝"/>
              <a:ea typeface="ＭＳ 明朝"/>
              <a:cs typeface="ＭＳ 明朝"/>
            </a:rPr>
            <a:t>寄付金</a:t>
          </a:r>
          <a:r>
            <a:rPr lang="en-US" cap="none" sz="800" b="1" i="0" u="none" baseline="0">
              <a:solidFill>
                <a:srgbClr val="000000"/>
              </a:solidFill>
              <a:latin typeface="ＭＳ 明朝"/>
              <a:ea typeface="ＭＳ 明朝"/>
              <a:cs typeface="ＭＳ 明朝"/>
            </a:rPr>
            <a:t>
</a:t>
          </a:r>
          <a:r>
            <a:rPr lang="en-US" cap="none" sz="800" b="1" i="0" u="none" baseline="0">
              <a:solidFill>
                <a:srgbClr val="000000"/>
              </a:solidFill>
              <a:latin typeface="ＭＳ 明朝"/>
              <a:ea typeface="ＭＳ 明朝"/>
              <a:cs typeface="ＭＳ 明朝"/>
            </a:rPr>
            <a:t>0.0</a:t>
          </a:r>
          <a:r>
            <a:rPr lang="en-US" cap="none" sz="800" b="1" i="0" u="none" baseline="0">
              <a:solidFill>
                <a:srgbClr val="000000"/>
              </a:solidFill>
              <a:latin typeface="ＭＳ 明朝"/>
              <a:ea typeface="ＭＳ 明朝"/>
              <a:cs typeface="ＭＳ 明朝"/>
            </a:rPr>
            <a:t>％</a:t>
          </a:r>
          <a:r>
            <a:rPr lang="en-US" cap="none" sz="800" b="1" i="0" u="none" baseline="0">
              <a:solidFill>
                <a:srgbClr val="000000"/>
              </a:solidFill>
              <a:latin typeface="ＭＳ 明朝"/>
              <a:ea typeface="ＭＳ 明朝"/>
              <a:cs typeface="ＭＳ 明朝"/>
            </a:rPr>
            <a:t>
</a:t>
          </a:r>
          <a:r>
            <a:rPr lang="en-US" cap="none" sz="800" b="1" i="0" u="none" baseline="0">
              <a:solidFill>
                <a:srgbClr val="000000"/>
              </a:solidFill>
              <a:latin typeface="ＭＳ 明朝"/>
              <a:ea typeface="ＭＳ 明朝"/>
              <a:cs typeface="ＭＳ 明朝"/>
            </a:rPr>
            <a:t>（</a:t>
          </a:r>
          <a:r>
            <a:rPr lang="en-US" cap="none" sz="800" b="1" i="0" u="none" baseline="0">
              <a:solidFill>
                <a:srgbClr val="000000"/>
              </a:solidFill>
              <a:latin typeface="ＭＳ 明朝"/>
              <a:ea typeface="ＭＳ 明朝"/>
              <a:cs typeface="ＭＳ 明朝"/>
            </a:rPr>
            <a:t>0.0</a:t>
          </a:r>
          <a:r>
            <a:rPr lang="en-US" cap="none" sz="800" b="1"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0.31025</cdr:x>
      <cdr:y>-0.01625</cdr:y>
    </cdr:from>
    <cdr:to>
      <cdr:x>0.312</cdr:x>
      <cdr:y>-0.01625</cdr:y>
    </cdr:to>
    <cdr:sp>
      <cdr:nvSpPr>
        <cdr:cNvPr id="6" name="テキスト ボックス 1"/>
        <cdr:cNvSpPr txBox="1">
          <a:spLocks noChangeArrowheads="1"/>
        </cdr:cNvSpPr>
      </cdr:nvSpPr>
      <cdr:spPr>
        <a:xfrm>
          <a:off x="1476375" y="-47624"/>
          <a:ext cx="9525" cy="0"/>
        </a:xfrm>
        <a:prstGeom prst="rect">
          <a:avLst/>
        </a:prstGeom>
        <a:noFill/>
        <a:ln w="9525" cmpd="sng">
          <a:noFill/>
        </a:ln>
      </cdr:spPr>
      <cdr:txBody>
        <a:bodyPr vertOverflow="clip" wrap="square"/>
        <a:p>
          <a:pPr algn="l">
            <a:defRPr/>
          </a:pPr>
          <a:r>
            <a:rPr lang="en-US" cap="none" sz="800" b="1" i="0" u="none" baseline="0">
              <a:solidFill>
                <a:srgbClr val="000000"/>
              </a:solidFill>
              <a:latin typeface="ＭＳ 明朝"/>
              <a:ea typeface="ＭＳ 明朝"/>
              <a:cs typeface="ＭＳ 明朝"/>
            </a:rPr>
            <a:t>地方債</a:t>
          </a:r>
          <a:r>
            <a:rPr lang="en-US" cap="none" sz="800" b="1" i="0" u="none" baseline="0">
              <a:solidFill>
                <a:srgbClr val="000000"/>
              </a:solidFill>
              <a:latin typeface="ＭＳ 明朝"/>
              <a:ea typeface="ＭＳ 明朝"/>
              <a:cs typeface="ＭＳ 明朝"/>
            </a:rPr>
            <a:t>
</a:t>
          </a:r>
          <a:r>
            <a:rPr lang="en-US" cap="none" sz="800" b="1" i="0" u="none" baseline="0">
              <a:solidFill>
                <a:srgbClr val="000000"/>
              </a:solidFill>
              <a:latin typeface="ＭＳ 明朝"/>
              <a:ea typeface="ＭＳ 明朝"/>
              <a:cs typeface="ＭＳ 明朝"/>
            </a:rPr>
            <a:t>3.8</a:t>
          </a:r>
          <a:r>
            <a:rPr lang="en-US" cap="none" sz="800" b="1" i="0" u="none" baseline="0">
              <a:solidFill>
                <a:srgbClr val="000000"/>
              </a:solidFill>
              <a:latin typeface="ＭＳ 明朝"/>
              <a:ea typeface="ＭＳ 明朝"/>
              <a:cs typeface="ＭＳ 明朝"/>
            </a:rPr>
            <a:t>％</a:t>
          </a:r>
          <a:r>
            <a:rPr lang="en-US" cap="none" sz="800" b="1" i="0" u="none" baseline="0">
              <a:solidFill>
                <a:srgbClr val="000000"/>
              </a:solidFill>
              <a:latin typeface="ＭＳ 明朝"/>
              <a:ea typeface="ＭＳ 明朝"/>
              <a:cs typeface="ＭＳ 明朝"/>
            </a:rPr>
            <a:t>
</a:t>
          </a:r>
          <a:r>
            <a:rPr lang="en-US" cap="none" sz="800" b="1" i="0" u="none" baseline="0">
              <a:solidFill>
                <a:srgbClr val="000000"/>
              </a:solidFill>
              <a:latin typeface="ＭＳ 明朝"/>
              <a:ea typeface="ＭＳ 明朝"/>
              <a:cs typeface="ＭＳ 明朝"/>
            </a:rPr>
            <a:t>（</a:t>
          </a:r>
          <a:r>
            <a:rPr lang="en-US" cap="none" sz="800" b="1" i="0" u="none" baseline="0">
              <a:solidFill>
                <a:srgbClr val="000000"/>
              </a:solidFill>
              <a:latin typeface="ＭＳ 明朝"/>
              <a:ea typeface="ＭＳ 明朝"/>
              <a:cs typeface="ＭＳ 明朝"/>
            </a:rPr>
            <a:t>7.4</a:t>
          </a:r>
          <a:r>
            <a:rPr lang="en-US" cap="none" sz="800" b="1" i="0" u="none" baseline="0">
              <a:solidFill>
                <a:srgbClr val="000000"/>
              </a:solidFill>
              <a:latin typeface="ＭＳ 明朝"/>
              <a:ea typeface="ＭＳ 明朝"/>
              <a:cs typeface="ＭＳ 明朝"/>
            </a:rPr>
            <a:t>％）</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5</xdr:row>
      <xdr:rowOff>28575</xdr:rowOff>
    </xdr:from>
    <xdr:to>
      <xdr:col>8</xdr:col>
      <xdr:colOff>390525</xdr:colOff>
      <xdr:row>24</xdr:row>
      <xdr:rowOff>38100</xdr:rowOff>
    </xdr:to>
    <xdr:graphicFrame>
      <xdr:nvGraphicFramePr>
        <xdr:cNvPr id="1" name="グラフ 1"/>
        <xdr:cNvGraphicFramePr/>
      </xdr:nvGraphicFramePr>
      <xdr:xfrm>
        <a:off x="1104900" y="857250"/>
        <a:ext cx="4772025" cy="32670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18</xdr:row>
      <xdr:rowOff>9525</xdr:rowOff>
    </xdr:from>
    <xdr:to>
      <xdr:col>3</xdr:col>
      <xdr:colOff>9525</xdr:colOff>
      <xdr:row>21</xdr:row>
      <xdr:rowOff>0</xdr:rowOff>
    </xdr:to>
    <xdr:sp>
      <xdr:nvSpPr>
        <xdr:cNvPr id="1" name="直線コネクタ 2"/>
        <xdr:cNvSpPr>
          <a:spLocks/>
        </xdr:cNvSpPr>
      </xdr:nvSpPr>
      <xdr:spPr>
        <a:xfrm>
          <a:off x="685800" y="4171950"/>
          <a:ext cx="2095500" cy="7620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xdr:row>
      <xdr:rowOff>0</xdr:rowOff>
    </xdr:from>
    <xdr:to>
      <xdr:col>3</xdr:col>
      <xdr:colOff>9525</xdr:colOff>
      <xdr:row>5</xdr:row>
      <xdr:rowOff>0</xdr:rowOff>
    </xdr:to>
    <xdr:sp>
      <xdr:nvSpPr>
        <xdr:cNvPr id="2" name="直線コネクタ 4"/>
        <xdr:cNvSpPr>
          <a:spLocks/>
        </xdr:cNvSpPr>
      </xdr:nvSpPr>
      <xdr:spPr>
        <a:xfrm>
          <a:off x="676275" y="333375"/>
          <a:ext cx="2105025" cy="771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13</xdr:row>
      <xdr:rowOff>19050</xdr:rowOff>
    </xdr:from>
    <xdr:to>
      <xdr:col>9</xdr:col>
      <xdr:colOff>514350</xdr:colOff>
      <xdr:row>17</xdr:row>
      <xdr:rowOff>38100</xdr:rowOff>
    </xdr:to>
    <xdr:sp>
      <xdr:nvSpPr>
        <xdr:cNvPr id="1" name="テキスト ボックス 1"/>
        <xdr:cNvSpPr txBox="1">
          <a:spLocks noChangeArrowheads="1"/>
        </xdr:cNvSpPr>
      </xdr:nvSpPr>
      <xdr:spPr>
        <a:xfrm>
          <a:off x="3676650" y="2247900"/>
          <a:ext cx="2333625" cy="666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注意！</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100</a:t>
          </a:r>
          <a:r>
            <a:rPr lang="en-US" cap="none" sz="1100" b="0" i="0" u="none" baseline="0">
              <a:solidFill>
                <a:srgbClr val="FF0000"/>
              </a:solidFill>
              <a:latin typeface="ＭＳ Ｐゴシック"/>
              <a:ea typeface="ＭＳ Ｐゴシック"/>
              <a:cs typeface="ＭＳ Ｐゴシック"/>
            </a:rPr>
            <a:t>にするために「</a:t>
          </a:r>
          <a:r>
            <a:rPr lang="en-US" cap="none" sz="1100" b="0" i="0" u="none" baseline="0">
              <a:solidFill>
                <a:srgbClr val="FF0000"/>
              </a:solidFill>
              <a:latin typeface="Calibri"/>
              <a:ea typeface="Calibri"/>
              <a:cs typeface="Calibri"/>
            </a:rPr>
            <a:t>E11</a:t>
          </a:r>
          <a:r>
            <a:rPr lang="en-US" cap="none" sz="1100" b="0" i="0" u="none" baseline="0">
              <a:solidFill>
                <a:srgbClr val="FF0000"/>
              </a:solidFill>
              <a:latin typeface="ＭＳ Ｐゴシック"/>
              <a:ea typeface="ＭＳ Ｐゴシック"/>
              <a:cs typeface="ＭＳ Ｐゴシック"/>
            </a:rPr>
            <a:t>セル」の式に</a:t>
          </a:r>
          <a:r>
            <a:rPr lang="en-US" cap="none" sz="1100" b="0" i="0" u="none" baseline="0">
              <a:solidFill>
                <a:srgbClr val="FF0000"/>
              </a:solidFill>
              <a:latin typeface="Calibri"/>
              <a:ea typeface="Calibri"/>
              <a:cs typeface="Calibri"/>
            </a:rPr>
            <a:t>0.1</a:t>
          </a:r>
          <a:r>
            <a:rPr lang="en-US" cap="none" sz="1100" b="0" i="0" u="none" baseline="0">
              <a:solidFill>
                <a:srgbClr val="FF0000"/>
              </a:solidFill>
              <a:latin typeface="ＭＳ Ｐゴシック"/>
              <a:ea typeface="ＭＳ Ｐゴシック"/>
              <a:cs typeface="ＭＳ Ｐゴシック"/>
            </a:rPr>
            <a:t>足している　　</a:t>
          </a:r>
          <a:r>
            <a:rPr lang="en-US" cap="none" sz="1100" b="0" i="0" u="none" baseline="0">
              <a:solidFill>
                <a:srgbClr val="FF0000"/>
              </a:solidFill>
              <a:latin typeface="Calibri"/>
              <a:ea typeface="Calibri"/>
              <a:cs typeface="Calibri"/>
            </a:rPr>
            <a:t>※31.8</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Calibri"/>
              <a:ea typeface="Calibri"/>
              <a:cs typeface="Calibri"/>
            </a:rPr>
            <a:t>31.9</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soum-nas\&#25945;&#32946;&#32207;&#21209;&#35506;\10&#25285;&#24403;&#26989;&#21209;\02_&#22320;&#26041;&#25945;&#32946;&#36027;&#35519;&#26619;\R4&#24180;&#24230;\&#9733;HP&#65288;&#26152;&#24180;&#24230;&#35519;&#26619;&#20998;&#65289;\03_&#30906;&#23450;&#20516;\00_&#26356;&#26032;&#12487;&#12540;&#12479;&#20316;&#25104;&#65288;&#36895;&#22577;&#65289;\&#25945;&#32946;&#36027;&#26412;&#25991;&#20803;&#65288;&#12464;&#12521;&#12501;&#29992;&#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票"/>
      <sheetName val="2ページ"/>
      <sheetName val="３ページ"/>
      <sheetName val="４ページ"/>
      <sheetName val="５ページ"/>
      <sheetName val="６ページ"/>
      <sheetName val="7ページ"/>
      <sheetName val="Sheet1"/>
    </sheetNames>
    <sheetDataSet>
      <sheetData sheetId="2">
        <row r="7">
          <cell r="AH7">
            <v>1069606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3.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D16"/>
  <sheetViews>
    <sheetView tabSelected="1" zoomScalePageLayoutView="0" workbookViewId="0" topLeftCell="A1">
      <selection activeCell="A1" sqref="A1:D1"/>
    </sheetView>
  </sheetViews>
  <sheetFormatPr defaultColWidth="9.00390625" defaultRowHeight="13.5"/>
  <cols>
    <col min="1" max="2" width="3.75390625" style="2" customWidth="1"/>
    <col min="3" max="3" width="21.75390625" style="2" customWidth="1"/>
    <col min="4" max="4" width="64.25390625" style="2" customWidth="1"/>
    <col min="5" max="16384" width="9.00390625" style="2" customWidth="1"/>
  </cols>
  <sheetData>
    <row r="1" spans="1:4" s="1" customFormat="1" ht="21" customHeight="1" thickBot="1">
      <c r="A1" s="917" t="s">
        <v>0</v>
      </c>
      <c r="B1" s="917"/>
      <c r="C1" s="917"/>
      <c r="D1" s="917"/>
    </row>
    <row r="2" spans="1:4" ht="21" customHeight="1" thickBot="1">
      <c r="A2" s="918" t="s">
        <v>1</v>
      </c>
      <c r="B2" s="919"/>
      <c r="C2" s="919"/>
      <c r="D2" s="108" t="s">
        <v>2</v>
      </c>
    </row>
    <row r="3" spans="1:4" ht="46.5" customHeight="1" thickTop="1">
      <c r="A3" s="920" t="s">
        <v>3</v>
      </c>
      <c r="B3" s="923" t="s">
        <v>4</v>
      </c>
      <c r="C3" s="3" t="s">
        <v>5</v>
      </c>
      <c r="D3" s="109" t="s">
        <v>6</v>
      </c>
    </row>
    <row r="4" spans="1:4" ht="46.5" customHeight="1">
      <c r="A4" s="921"/>
      <c r="B4" s="912"/>
      <c r="C4" s="4" t="s">
        <v>252</v>
      </c>
      <c r="D4" s="110" t="s">
        <v>253</v>
      </c>
    </row>
    <row r="5" spans="1:4" ht="46.5" customHeight="1">
      <c r="A5" s="921"/>
      <c r="B5" s="912"/>
      <c r="C5" s="4" t="s">
        <v>7</v>
      </c>
      <c r="D5" s="110" t="s">
        <v>8</v>
      </c>
    </row>
    <row r="6" spans="1:4" ht="46.5" customHeight="1">
      <c r="A6" s="921"/>
      <c r="B6" s="912"/>
      <c r="C6" s="4" t="s">
        <v>9</v>
      </c>
      <c r="D6" s="110" t="s">
        <v>10</v>
      </c>
    </row>
    <row r="7" spans="1:4" ht="46.5" customHeight="1">
      <c r="A7" s="921"/>
      <c r="B7" s="912"/>
      <c r="C7" s="182" t="s">
        <v>254</v>
      </c>
      <c r="D7" s="111" t="s">
        <v>11</v>
      </c>
    </row>
    <row r="8" spans="1:4" ht="46.5" customHeight="1" thickBot="1">
      <c r="A8" s="922"/>
      <c r="B8" s="176" t="s">
        <v>246</v>
      </c>
      <c r="C8" s="181" t="s">
        <v>251</v>
      </c>
      <c r="D8" s="112" t="s">
        <v>255</v>
      </c>
    </row>
    <row r="9" spans="1:4" ht="46.5" customHeight="1" thickTop="1">
      <c r="A9" s="924" t="s">
        <v>12</v>
      </c>
      <c r="B9" s="911" t="s">
        <v>13</v>
      </c>
      <c r="C9" s="5" t="s">
        <v>14</v>
      </c>
      <c r="D9" s="113" t="s">
        <v>15</v>
      </c>
    </row>
    <row r="10" spans="1:4" ht="46.5" customHeight="1">
      <c r="A10" s="925"/>
      <c r="B10" s="912"/>
      <c r="C10" s="4" t="s">
        <v>16</v>
      </c>
      <c r="D10" s="110" t="s">
        <v>17</v>
      </c>
    </row>
    <row r="11" spans="1:4" ht="46.5" customHeight="1">
      <c r="A11" s="925"/>
      <c r="B11" s="912"/>
      <c r="C11" s="4" t="s">
        <v>18</v>
      </c>
      <c r="D11" s="110" t="s">
        <v>19</v>
      </c>
    </row>
    <row r="12" spans="1:4" ht="46.5" customHeight="1">
      <c r="A12" s="925"/>
      <c r="B12" s="912"/>
      <c r="C12" s="4" t="s">
        <v>20</v>
      </c>
      <c r="D12" s="110" t="s">
        <v>21</v>
      </c>
    </row>
    <row r="13" spans="1:4" ht="46.5" customHeight="1">
      <c r="A13" s="925"/>
      <c r="B13" s="912"/>
      <c r="C13" s="6" t="s">
        <v>22</v>
      </c>
      <c r="D13" s="111" t="s">
        <v>250</v>
      </c>
    </row>
    <row r="14" spans="1:4" ht="46.5" customHeight="1">
      <c r="A14" s="925"/>
      <c r="B14" s="913" t="s">
        <v>23</v>
      </c>
      <c r="C14" s="914"/>
      <c r="D14" s="114" t="s">
        <v>24</v>
      </c>
    </row>
    <row r="15" spans="1:4" ht="46.5" customHeight="1">
      <c r="A15" s="925"/>
      <c r="B15" s="915" t="s">
        <v>25</v>
      </c>
      <c r="C15" s="916"/>
      <c r="D15" s="407" t="s">
        <v>26</v>
      </c>
    </row>
    <row r="16" spans="1:4" ht="58.5" customHeight="1" thickBot="1">
      <c r="A16" s="926"/>
      <c r="B16" s="927" t="s">
        <v>302</v>
      </c>
      <c r="C16" s="928"/>
      <c r="D16" s="115" t="s">
        <v>303</v>
      </c>
    </row>
  </sheetData>
  <sheetProtection/>
  <mergeCells count="9">
    <mergeCell ref="B9:B13"/>
    <mergeCell ref="B14:C14"/>
    <mergeCell ref="B15:C15"/>
    <mergeCell ref="A1:D1"/>
    <mergeCell ref="A2:C2"/>
    <mergeCell ref="A3:A8"/>
    <mergeCell ref="B3:B7"/>
    <mergeCell ref="A9:A16"/>
    <mergeCell ref="B16:C16"/>
  </mergeCells>
  <printOptions/>
  <pageMargins left="0.56" right="0.33"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M27"/>
  <sheetViews>
    <sheetView zoomScalePageLayoutView="0" workbookViewId="0" topLeftCell="A1">
      <selection activeCell="A1" sqref="A1:G1"/>
    </sheetView>
  </sheetViews>
  <sheetFormatPr defaultColWidth="9.00390625" defaultRowHeight="13.5"/>
  <cols>
    <col min="1" max="1" width="4.125" style="7" customWidth="1"/>
    <col min="2" max="2" width="2.375" style="7" customWidth="1"/>
    <col min="3" max="3" width="2.50390625" style="7" customWidth="1"/>
    <col min="4" max="4" width="2.625" style="7" customWidth="1"/>
    <col min="5" max="5" width="14.875" style="7" customWidth="1"/>
    <col min="6" max="6" width="12.50390625" style="7" customWidth="1"/>
    <col min="7" max="10" width="11.75390625" style="7" customWidth="1"/>
    <col min="11" max="11" width="10.875" style="7" customWidth="1"/>
    <col min="12" max="12" width="9.875" style="7" customWidth="1"/>
    <col min="13" max="13" width="12.75390625" style="7" bestFit="1" customWidth="1"/>
    <col min="14" max="16384" width="9.00390625" style="7" customWidth="1"/>
  </cols>
  <sheetData>
    <row r="1" spans="1:7" ht="21" customHeight="1">
      <c r="A1" s="1110" t="s">
        <v>124</v>
      </c>
      <c r="B1" s="1110"/>
      <c r="C1" s="1110"/>
      <c r="D1" s="1110"/>
      <c r="E1" s="1110"/>
      <c r="F1" s="1110"/>
      <c r="G1" s="1110"/>
    </row>
    <row r="2" spans="11:12" ht="21" customHeight="1" thickBot="1">
      <c r="K2" s="52" t="s">
        <v>125</v>
      </c>
      <c r="L2" s="381">
        <f>'表５'!I31</f>
        <v>31853</v>
      </c>
    </row>
    <row r="3" spans="1:12" ht="16.5" customHeight="1">
      <c r="A3" s="1111" t="s">
        <v>106</v>
      </c>
      <c r="B3" s="1112"/>
      <c r="C3" s="1112"/>
      <c r="D3" s="1112"/>
      <c r="E3" s="1113"/>
      <c r="F3" s="1053" t="s">
        <v>28</v>
      </c>
      <c r="G3" s="1048" t="s">
        <v>93</v>
      </c>
      <c r="H3" s="1049"/>
      <c r="I3" s="1049"/>
      <c r="J3" s="1049"/>
      <c r="K3" s="1053" t="s">
        <v>107</v>
      </c>
      <c r="L3" s="1108" t="s">
        <v>264</v>
      </c>
    </row>
    <row r="4" spans="1:12" ht="33" customHeight="1" thickBot="1">
      <c r="A4" s="1114"/>
      <c r="B4" s="1115"/>
      <c r="C4" s="1115"/>
      <c r="D4" s="1115"/>
      <c r="E4" s="1116"/>
      <c r="F4" s="1107"/>
      <c r="G4" s="54" t="s">
        <v>108</v>
      </c>
      <c r="H4" s="46" t="s">
        <v>268</v>
      </c>
      <c r="I4" s="183" t="s">
        <v>263</v>
      </c>
      <c r="J4" s="184" t="s">
        <v>269</v>
      </c>
      <c r="K4" s="1107"/>
      <c r="L4" s="1109"/>
    </row>
    <row r="5" spans="1:13" ht="18.75" customHeight="1">
      <c r="A5" s="1101" t="s">
        <v>27</v>
      </c>
      <c r="B5" s="1104" t="s">
        <v>109</v>
      </c>
      <c r="C5" s="1105"/>
      <c r="D5" s="1105"/>
      <c r="E5" s="1106"/>
      <c r="F5" s="383">
        <f>G5+K5+L5</f>
        <v>38922117</v>
      </c>
      <c r="G5" s="383">
        <f>SUM(H5:J5)</f>
        <v>36917319</v>
      </c>
      <c r="H5" s="383">
        <f>H6+H14+H15</f>
        <v>7908569</v>
      </c>
      <c r="I5" s="383">
        <f>I6+I14+I15</f>
        <v>19050821</v>
      </c>
      <c r="J5" s="237">
        <f>J6+J14+J15</f>
        <v>9957929</v>
      </c>
      <c r="K5" s="237">
        <f>K6+K14+K15</f>
        <v>2004548</v>
      </c>
      <c r="L5" s="238">
        <f>L6+L14+L15</f>
        <v>250</v>
      </c>
      <c r="M5" s="94"/>
    </row>
    <row r="6" spans="1:12" ht="18.75" customHeight="1">
      <c r="A6" s="1102"/>
      <c r="B6" s="958"/>
      <c r="C6" s="1087" t="s">
        <v>110</v>
      </c>
      <c r="D6" s="1092"/>
      <c r="E6" s="1088"/>
      <c r="F6" s="145">
        <f aca="true" t="shared" si="0" ref="F6:F15">G6+K6+L6</f>
        <v>31550447</v>
      </c>
      <c r="G6" s="145">
        <f aca="true" t="shared" si="1" ref="G6:G15">SUM(H6:J6)</f>
        <v>31544597</v>
      </c>
      <c r="H6" s="145">
        <f>H7+SUM(H10:H13)</f>
        <v>6514265</v>
      </c>
      <c r="I6" s="145">
        <f>I7+SUM(I10:I13)</f>
        <v>19047821</v>
      </c>
      <c r="J6" s="16">
        <f>J7+SUM(J10:J13)</f>
        <v>5982511</v>
      </c>
      <c r="K6" s="16">
        <f>K7+SUM(K10:K13)</f>
        <v>5800</v>
      </c>
      <c r="L6" s="18">
        <f>L7+SUM(L10:L13)</f>
        <v>50</v>
      </c>
    </row>
    <row r="7" spans="1:12" ht="18.75" customHeight="1">
      <c r="A7" s="1102"/>
      <c r="B7" s="959"/>
      <c r="C7" s="958"/>
      <c r="D7" s="1087" t="s">
        <v>111</v>
      </c>
      <c r="E7" s="1088"/>
      <c r="F7" s="145">
        <f t="shared" si="0"/>
        <v>26553997</v>
      </c>
      <c r="G7" s="145">
        <f t="shared" si="1"/>
        <v>26553997</v>
      </c>
      <c r="H7" s="446">
        <v>6236556</v>
      </c>
      <c r="I7" s="446">
        <v>18938019</v>
      </c>
      <c r="J7" s="43">
        <v>1379422</v>
      </c>
      <c r="K7" s="43">
        <v>0</v>
      </c>
      <c r="L7" s="123">
        <v>0</v>
      </c>
    </row>
    <row r="8" spans="1:12" ht="18.75" customHeight="1">
      <c r="A8" s="1102"/>
      <c r="B8" s="959"/>
      <c r="C8" s="959"/>
      <c r="D8" s="958"/>
      <c r="E8" s="50" t="s">
        <v>280</v>
      </c>
      <c r="F8" s="145">
        <f t="shared" si="0"/>
        <v>17415440</v>
      </c>
      <c r="G8" s="145">
        <f t="shared" si="1"/>
        <v>17415440</v>
      </c>
      <c r="H8" s="446">
        <v>5840422</v>
      </c>
      <c r="I8" s="446">
        <v>11560377</v>
      </c>
      <c r="J8" s="43">
        <v>14641</v>
      </c>
      <c r="K8" s="43">
        <v>0</v>
      </c>
      <c r="L8" s="123">
        <v>0</v>
      </c>
    </row>
    <row r="9" spans="1:12" ht="18.75" customHeight="1">
      <c r="A9" s="1102"/>
      <c r="B9" s="959"/>
      <c r="C9" s="959"/>
      <c r="D9" s="964"/>
      <c r="E9" s="11" t="s">
        <v>112</v>
      </c>
      <c r="F9" s="16">
        <f t="shared" si="0"/>
        <v>9138557</v>
      </c>
      <c r="G9" s="16">
        <f t="shared" si="1"/>
        <v>9138557</v>
      </c>
      <c r="H9" s="43">
        <f>H7-H8</f>
        <v>396134</v>
      </c>
      <c r="I9" s="43">
        <f>I7-I8</f>
        <v>7377642</v>
      </c>
      <c r="J9" s="43">
        <f>J7-J8</f>
        <v>1364781</v>
      </c>
      <c r="K9" s="43">
        <f>K7-K8</f>
        <v>0</v>
      </c>
      <c r="L9" s="123">
        <f>L7-L8</f>
        <v>0</v>
      </c>
    </row>
    <row r="10" spans="1:12" ht="18.75" customHeight="1">
      <c r="A10" s="1102"/>
      <c r="B10" s="959"/>
      <c r="C10" s="959"/>
      <c r="D10" s="1087" t="s">
        <v>113</v>
      </c>
      <c r="E10" s="1088"/>
      <c r="F10" s="16">
        <f>G10+K10+L10</f>
        <v>945198</v>
      </c>
      <c r="G10" s="16">
        <f t="shared" si="1"/>
        <v>944348</v>
      </c>
      <c r="H10" s="43">
        <v>154758</v>
      </c>
      <c r="I10" s="43">
        <v>72081</v>
      </c>
      <c r="J10" s="43">
        <v>717509</v>
      </c>
      <c r="K10" s="43">
        <v>800</v>
      </c>
      <c r="L10" s="123">
        <v>50</v>
      </c>
    </row>
    <row r="11" spans="1:12" ht="18.75" customHeight="1">
      <c r="A11" s="1102"/>
      <c r="B11" s="959"/>
      <c r="C11" s="959"/>
      <c r="D11" s="1087" t="s">
        <v>114</v>
      </c>
      <c r="E11" s="1088"/>
      <c r="F11" s="16">
        <f t="shared" si="0"/>
        <v>2048628</v>
      </c>
      <c r="G11" s="16">
        <f t="shared" si="1"/>
        <v>2048628</v>
      </c>
      <c r="H11" s="43">
        <v>68488</v>
      </c>
      <c r="I11" s="43">
        <v>9612</v>
      </c>
      <c r="J11" s="43">
        <v>1970528</v>
      </c>
      <c r="K11" s="43">
        <v>0</v>
      </c>
      <c r="L11" s="123">
        <v>0</v>
      </c>
    </row>
    <row r="12" spans="1:12" ht="18.75" customHeight="1">
      <c r="A12" s="1102"/>
      <c r="B12" s="959"/>
      <c r="C12" s="959"/>
      <c r="D12" s="1087" t="s">
        <v>115</v>
      </c>
      <c r="E12" s="1088"/>
      <c r="F12" s="16">
        <f t="shared" si="0"/>
        <v>1884508</v>
      </c>
      <c r="G12" s="16">
        <f t="shared" si="1"/>
        <v>1879508</v>
      </c>
      <c r="H12" s="43">
        <v>53437</v>
      </c>
      <c r="I12" s="43">
        <v>28109</v>
      </c>
      <c r="J12" s="43">
        <v>1797962</v>
      </c>
      <c r="K12" s="43">
        <v>5000</v>
      </c>
      <c r="L12" s="123">
        <v>0</v>
      </c>
    </row>
    <row r="13" spans="1:12" ht="18.75" customHeight="1">
      <c r="A13" s="1102"/>
      <c r="B13" s="959"/>
      <c r="C13" s="964"/>
      <c r="D13" s="1087" t="s">
        <v>116</v>
      </c>
      <c r="E13" s="1088"/>
      <c r="F13" s="16">
        <f t="shared" si="0"/>
        <v>118116</v>
      </c>
      <c r="G13" s="16">
        <f t="shared" si="1"/>
        <v>118116</v>
      </c>
      <c r="H13" s="43">
        <v>1026</v>
      </c>
      <c r="I13" s="43">
        <v>0</v>
      </c>
      <c r="J13" s="43">
        <v>117090</v>
      </c>
      <c r="K13" s="43">
        <v>0</v>
      </c>
      <c r="L13" s="123">
        <v>0</v>
      </c>
    </row>
    <row r="14" spans="1:12" ht="18.75" customHeight="1">
      <c r="A14" s="1102"/>
      <c r="B14" s="959"/>
      <c r="C14" s="1087" t="s">
        <v>117</v>
      </c>
      <c r="D14" s="1092"/>
      <c r="E14" s="1088"/>
      <c r="F14" s="16">
        <f t="shared" si="0"/>
        <v>4939995</v>
      </c>
      <c r="G14" s="16">
        <f t="shared" si="1"/>
        <v>2941047</v>
      </c>
      <c r="H14" s="43">
        <v>1394304</v>
      </c>
      <c r="I14" s="43">
        <v>3000</v>
      </c>
      <c r="J14" s="43">
        <v>1543743</v>
      </c>
      <c r="K14" s="43">
        <v>1998748</v>
      </c>
      <c r="L14" s="123">
        <v>200</v>
      </c>
    </row>
    <row r="15" spans="1:12" ht="18.75" customHeight="1" thickBot="1">
      <c r="A15" s="1103"/>
      <c r="B15" s="968"/>
      <c r="C15" s="1093" t="s">
        <v>118</v>
      </c>
      <c r="D15" s="1094"/>
      <c r="E15" s="1095"/>
      <c r="F15" s="35">
        <f t="shared" si="0"/>
        <v>2431675</v>
      </c>
      <c r="G15" s="35">
        <f t="shared" si="1"/>
        <v>2431675</v>
      </c>
      <c r="H15" s="124">
        <v>0</v>
      </c>
      <c r="I15" s="124">
        <v>0</v>
      </c>
      <c r="J15" s="124">
        <v>2431675</v>
      </c>
      <c r="K15" s="124">
        <v>0</v>
      </c>
      <c r="L15" s="125">
        <v>0</v>
      </c>
    </row>
    <row r="16" spans="1:12" ht="18.75" customHeight="1" thickTop="1">
      <c r="A16" s="1096" t="s">
        <v>126</v>
      </c>
      <c r="B16" s="1098" t="s">
        <v>109</v>
      </c>
      <c r="C16" s="1099"/>
      <c r="D16" s="1099"/>
      <c r="E16" s="1100"/>
      <c r="F16" s="235">
        <f>ROUND(F5*1000/$L$2,0)</f>
        <v>1221929</v>
      </c>
      <c r="G16" s="235">
        <f aca="true" t="shared" si="2" ref="G16:L16">ROUND(G5*1000/$L$2,0)</f>
        <v>1158990</v>
      </c>
      <c r="H16" s="235">
        <f t="shared" si="2"/>
        <v>248283</v>
      </c>
      <c r="I16" s="235">
        <f t="shared" si="2"/>
        <v>598086</v>
      </c>
      <c r="J16" s="235">
        <f t="shared" si="2"/>
        <v>312621</v>
      </c>
      <c r="K16" s="235">
        <f t="shared" si="2"/>
        <v>62931</v>
      </c>
      <c r="L16" s="236">
        <f t="shared" si="2"/>
        <v>8</v>
      </c>
    </row>
    <row r="17" spans="1:12" ht="18.75" customHeight="1">
      <c r="A17" s="1096"/>
      <c r="B17" s="958"/>
      <c r="C17" s="1087" t="s">
        <v>110</v>
      </c>
      <c r="D17" s="1092"/>
      <c r="E17" s="1088"/>
      <c r="F17" s="49">
        <f>ROUND(F6*1000/$L$2,0)</f>
        <v>990502</v>
      </c>
      <c r="G17" s="49">
        <f aca="true" t="shared" si="3" ref="G17:L17">ROUND(G6*1000/$L$2,0)</f>
        <v>990318</v>
      </c>
      <c r="H17" s="49">
        <f t="shared" si="3"/>
        <v>204510</v>
      </c>
      <c r="I17" s="49">
        <f t="shared" si="3"/>
        <v>597991</v>
      </c>
      <c r="J17" s="49">
        <f t="shared" si="3"/>
        <v>187816</v>
      </c>
      <c r="K17" s="49">
        <f t="shared" si="3"/>
        <v>182</v>
      </c>
      <c r="L17" s="58">
        <f t="shared" si="3"/>
        <v>2</v>
      </c>
    </row>
    <row r="18" spans="1:12" ht="18.75" customHeight="1">
      <c r="A18" s="1096"/>
      <c r="B18" s="959"/>
      <c r="C18" s="958"/>
      <c r="D18" s="1087" t="s">
        <v>111</v>
      </c>
      <c r="E18" s="1088"/>
      <c r="F18" s="49">
        <f aca="true" t="shared" si="4" ref="F18:L18">ROUND(F7*1000/$L$2,0)</f>
        <v>833642</v>
      </c>
      <c r="G18" s="49">
        <f t="shared" si="4"/>
        <v>833642</v>
      </c>
      <c r="H18" s="49">
        <f t="shared" si="4"/>
        <v>195792</v>
      </c>
      <c r="I18" s="49">
        <f t="shared" si="4"/>
        <v>594544</v>
      </c>
      <c r="J18" s="49">
        <f t="shared" si="4"/>
        <v>43306</v>
      </c>
      <c r="K18" s="49">
        <f t="shared" si="4"/>
        <v>0</v>
      </c>
      <c r="L18" s="58">
        <f t="shared" si="4"/>
        <v>0</v>
      </c>
    </row>
    <row r="19" spans="1:12" ht="18.75" customHeight="1">
      <c r="A19" s="1096"/>
      <c r="B19" s="959"/>
      <c r="C19" s="959"/>
      <c r="D19" s="958"/>
      <c r="E19" s="50" t="s">
        <v>281</v>
      </c>
      <c r="F19" s="49">
        <f aca="true" t="shared" si="5" ref="F19:L19">ROUND(F8*1000/$L$2,0)</f>
        <v>546744</v>
      </c>
      <c r="G19" s="49">
        <f t="shared" si="5"/>
        <v>546744</v>
      </c>
      <c r="H19" s="49">
        <f t="shared" si="5"/>
        <v>183355</v>
      </c>
      <c r="I19" s="49">
        <f t="shared" si="5"/>
        <v>362929</v>
      </c>
      <c r="J19" s="49">
        <f t="shared" si="5"/>
        <v>460</v>
      </c>
      <c r="K19" s="49">
        <f t="shared" si="5"/>
        <v>0</v>
      </c>
      <c r="L19" s="58">
        <f t="shared" si="5"/>
        <v>0</v>
      </c>
    </row>
    <row r="20" spans="1:12" ht="18.75" customHeight="1">
      <c r="A20" s="1096"/>
      <c r="B20" s="959"/>
      <c r="C20" s="959"/>
      <c r="D20" s="964"/>
      <c r="E20" s="11" t="s">
        <v>112</v>
      </c>
      <c r="F20" s="49">
        <f aca="true" t="shared" si="6" ref="F20:L20">ROUND(F9*1000/$L$2,0)</f>
        <v>286898</v>
      </c>
      <c r="G20" s="49">
        <f t="shared" si="6"/>
        <v>286898</v>
      </c>
      <c r="H20" s="49">
        <f t="shared" si="6"/>
        <v>12436</v>
      </c>
      <c r="I20" s="49">
        <f t="shared" si="6"/>
        <v>231615</v>
      </c>
      <c r="J20" s="49">
        <f t="shared" si="6"/>
        <v>42846</v>
      </c>
      <c r="K20" s="49">
        <f t="shared" si="6"/>
        <v>0</v>
      </c>
      <c r="L20" s="58">
        <f t="shared" si="6"/>
        <v>0</v>
      </c>
    </row>
    <row r="21" spans="1:12" ht="18.75" customHeight="1">
      <c r="A21" s="1096"/>
      <c r="B21" s="959"/>
      <c r="C21" s="959"/>
      <c r="D21" s="1087" t="s">
        <v>113</v>
      </c>
      <c r="E21" s="1088"/>
      <c r="F21" s="49">
        <f aca="true" t="shared" si="7" ref="F21:L21">ROUND(F10*1000/$L$2,0)</f>
        <v>29674</v>
      </c>
      <c r="G21" s="49">
        <f t="shared" si="7"/>
        <v>29647</v>
      </c>
      <c r="H21" s="49">
        <f t="shared" si="7"/>
        <v>4859</v>
      </c>
      <c r="I21" s="49">
        <f t="shared" si="7"/>
        <v>2263</v>
      </c>
      <c r="J21" s="49">
        <f t="shared" si="7"/>
        <v>22526</v>
      </c>
      <c r="K21" s="49">
        <f t="shared" si="7"/>
        <v>25</v>
      </c>
      <c r="L21" s="58">
        <f t="shared" si="7"/>
        <v>2</v>
      </c>
    </row>
    <row r="22" spans="1:12" ht="18.75" customHeight="1">
      <c r="A22" s="1096"/>
      <c r="B22" s="959"/>
      <c r="C22" s="959"/>
      <c r="D22" s="1087" t="s">
        <v>114</v>
      </c>
      <c r="E22" s="1088"/>
      <c r="F22" s="49">
        <f aca="true" t="shared" si="8" ref="F22:L22">ROUND(F11*1000/$L$2,0)</f>
        <v>64315</v>
      </c>
      <c r="G22" s="49">
        <f t="shared" si="8"/>
        <v>64315</v>
      </c>
      <c r="H22" s="49">
        <f t="shared" si="8"/>
        <v>2150</v>
      </c>
      <c r="I22" s="49">
        <f t="shared" si="8"/>
        <v>302</v>
      </c>
      <c r="J22" s="49">
        <f t="shared" si="8"/>
        <v>61863</v>
      </c>
      <c r="K22" s="49">
        <f t="shared" si="8"/>
        <v>0</v>
      </c>
      <c r="L22" s="58">
        <f t="shared" si="8"/>
        <v>0</v>
      </c>
    </row>
    <row r="23" spans="1:12" ht="18.75" customHeight="1">
      <c r="A23" s="1096"/>
      <c r="B23" s="959"/>
      <c r="C23" s="959"/>
      <c r="D23" s="1087" t="s">
        <v>115</v>
      </c>
      <c r="E23" s="1088"/>
      <c r="F23" s="49">
        <f aca="true" t="shared" si="9" ref="F23:L23">ROUND(F12*1000/$L$2,0)</f>
        <v>59163</v>
      </c>
      <c r="G23" s="49">
        <f t="shared" si="9"/>
        <v>59006</v>
      </c>
      <c r="H23" s="49">
        <f t="shared" si="9"/>
        <v>1678</v>
      </c>
      <c r="I23" s="49">
        <f t="shared" si="9"/>
        <v>882</v>
      </c>
      <c r="J23" s="49">
        <f t="shared" si="9"/>
        <v>56446</v>
      </c>
      <c r="K23" s="49">
        <f t="shared" si="9"/>
        <v>157</v>
      </c>
      <c r="L23" s="58">
        <f t="shared" si="9"/>
        <v>0</v>
      </c>
    </row>
    <row r="24" spans="1:12" ht="18.75" customHeight="1">
      <c r="A24" s="1096"/>
      <c r="B24" s="959"/>
      <c r="C24" s="964"/>
      <c r="D24" s="1087" t="s">
        <v>116</v>
      </c>
      <c r="E24" s="1088"/>
      <c r="F24" s="49">
        <f aca="true" t="shared" si="10" ref="F24:L24">ROUND(F13*1000/$L$2,0)</f>
        <v>3708</v>
      </c>
      <c r="G24" s="49">
        <f t="shared" si="10"/>
        <v>3708</v>
      </c>
      <c r="H24" s="49">
        <f t="shared" si="10"/>
        <v>32</v>
      </c>
      <c r="I24" s="49">
        <f t="shared" si="10"/>
        <v>0</v>
      </c>
      <c r="J24" s="49">
        <f t="shared" si="10"/>
        <v>3676</v>
      </c>
      <c r="K24" s="49">
        <f t="shared" si="10"/>
        <v>0</v>
      </c>
      <c r="L24" s="58">
        <f t="shared" si="10"/>
        <v>0</v>
      </c>
    </row>
    <row r="25" spans="1:12" ht="18.75" customHeight="1">
      <c r="A25" s="1096"/>
      <c r="B25" s="959"/>
      <c r="C25" s="1087" t="s">
        <v>117</v>
      </c>
      <c r="D25" s="1092"/>
      <c r="E25" s="1088"/>
      <c r="F25" s="49">
        <f aca="true" t="shared" si="11" ref="F25:L25">ROUND(F14*1000/$L$2,0)</f>
        <v>155087</v>
      </c>
      <c r="G25" s="49">
        <f t="shared" si="11"/>
        <v>92332</v>
      </c>
      <c r="H25" s="49">
        <f t="shared" si="11"/>
        <v>43773</v>
      </c>
      <c r="I25" s="49">
        <f t="shared" si="11"/>
        <v>94</v>
      </c>
      <c r="J25" s="49">
        <f t="shared" si="11"/>
        <v>48465</v>
      </c>
      <c r="K25" s="49">
        <f t="shared" si="11"/>
        <v>62749</v>
      </c>
      <c r="L25" s="58">
        <f t="shared" si="11"/>
        <v>6</v>
      </c>
    </row>
    <row r="26" spans="1:12" ht="18.75" customHeight="1" thickBot="1">
      <c r="A26" s="1097"/>
      <c r="B26" s="960"/>
      <c r="C26" s="1089" t="s">
        <v>118</v>
      </c>
      <c r="D26" s="1090"/>
      <c r="E26" s="1091"/>
      <c r="F26" s="41">
        <f aca="true" t="shared" si="12" ref="F26:L26">ROUND(F15*1000/$L$2,0)</f>
        <v>76341</v>
      </c>
      <c r="G26" s="41">
        <f t="shared" si="12"/>
        <v>76341</v>
      </c>
      <c r="H26" s="41">
        <f t="shared" si="12"/>
        <v>0</v>
      </c>
      <c r="I26" s="41">
        <f t="shared" si="12"/>
        <v>0</v>
      </c>
      <c r="J26" s="41">
        <f t="shared" si="12"/>
        <v>76341</v>
      </c>
      <c r="K26" s="41">
        <f t="shared" si="12"/>
        <v>0</v>
      </c>
      <c r="L26" s="42">
        <f t="shared" si="12"/>
        <v>0</v>
      </c>
    </row>
    <row r="27" ht="19.5" customHeight="1">
      <c r="A27" s="7" t="s">
        <v>120</v>
      </c>
    </row>
  </sheetData>
  <sheetProtection/>
  <mergeCells count="32">
    <mergeCell ref="K3:K4"/>
    <mergeCell ref="L3:L4"/>
    <mergeCell ref="A1:G1"/>
    <mergeCell ref="A3:E4"/>
    <mergeCell ref="F3:F4"/>
    <mergeCell ref="G3:J3"/>
    <mergeCell ref="A5:A15"/>
    <mergeCell ref="B5:E5"/>
    <mergeCell ref="B6:B15"/>
    <mergeCell ref="C6:E6"/>
    <mergeCell ref="C7:C13"/>
    <mergeCell ref="D7:E7"/>
    <mergeCell ref="D8:D9"/>
    <mergeCell ref="D10:E10"/>
    <mergeCell ref="D11:E11"/>
    <mergeCell ref="D12:E12"/>
    <mergeCell ref="D13:E13"/>
    <mergeCell ref="C14:E14"/>
    <mergeCell ref="C15:E15"/>
    <mergeCell ref="A16:A26"/>
    <mergeCell ref="B16:E16"/>
    <mergeCell ref="B17:B26"/>
    <mergeCell ref="C17:E17"/>
    <mergeCell ref="C18:C24"/>
    <mergeCell ref="D18:E18"/>
    <mergeCell ref="D19:D20"/>
    <mergeCell ref="D21:E21"/>
    <mergeCell ref="C26:E26"/>
    <mergeCell ref="D22:E22"/>
    <mergeCell ref="D23:E23"/>
    <mergeCell ref="D24:E24"/>
    <mergeCell ref="C25:E25"/>
  </mergeCells>
  <printOptions/>
  <pageMargins left="0.75" right="0.75" top="1" bottom="1" header="0.512" footer="0.512"/>
  <pageSetup horizontalDpi="300" verticalDpi="300" orientation="landscape" paperSize="9" scale="95" r:id="rId1"/>
</worksheet>
</file>

<file path=xl/worksheets/sheet11.xml><?xml version="1.0" encoding="utf-8"?>
<worksheet xmlns="http://schemas.openxmlformats.org/spreadsheetml/2006/main" xmlns:r="http://schemas.openxmlformats.org/officeDocument/2006/relationships">
  <sheetPr codeName="Sheet11"/>
  <dimension ref="A1:N27"/>
  <sheetViews>
    <sheetView zoomScalePageLayoutView="0" workbookViewId="0" topLeftCell="A1">
      <selection activeCell="A1" sqref="A1:H1"/>
    </sheetView>
  </sheetViews>
  <sheetFormatPr defaultColWidth="9.00390625" defaultRowHeight="13.5"/>
  <cols>
    <col min="1" max="1" width="4.125" style="7" customWidth="1"/>
    <col min="2" max="2" width="2.375" style="7" customWidth="1"/>
    <col min="3" max="3" width="2.50390625" style="7" customWidth="1"/>
    <col min="4" max="4" width="2.625" style="7" customWidth="1"/>
    <col min="5" max="5" width="14.875" style="7" customWidth="1"/>
    <col min="6" max="6" width="12.50390625" style="7" customWidth="1"/>
    <col min="7" max="10" width="11.75390625" style="7" customWidth="1"/>
    <col min="11" max="11" width="10.875" style="7" customWidth="1"/>
    <col min="12" max="12" width="9.875" style="7" customWidth="1"/>
    <col min="13" max="16384" width="9.00390625" style="7" customWidth="1"/>
  </cols>
  <sheetData>
    <row r="1" spans="1:8" ht="21" customHeight="1">
      <c r="A1" s="1110" t="s">
        <v>244</v>
      </c>
      <c r="B1" s="1110"/>
      <c r="C1" s="1110"/>
      <c r="D1" s="1110"/>
      <c r="E1" s="1110"/>
      <c r="F1" s="1110"/>
      <c r="G1" s="1110"/>
      <c r="H1" s="1110"/>
    </row>
    <row r="2" spans="11:12" ht="21" customHeight="1" thickBot="1">
      <c r="K2" s="52" t="s">
        <v>125</v>
      </c>
      <c r="L2" s="381">
        <f>'表５'!J31</f>
        <v>1499</v>
      </c>
    </row>
    <row r="3" spans="1:12" ht="16.5" customHeight="1">
      <c r="A3" s="1111" t="s">
        <v>106</v>
      </c>
      <c r="B3" s="1112"/>
      <c r="C3" s="1112"/>
      <c r="D3" s="1112"/>
      <c r="E3" s="1113"/>
      <c r="F3" s="1053" t="s">
        <v>28</v>
      </c>
      <c r="G3" s="1048" t="s">
        <v>93</v>
      </c>
      <c r="H3" s="1049"/>
      <c r="I3" s="1049"/>
      <c r="J3" s="1049"/>
      <c r="K3" s="1053" t="s">
        <v>107</v>
      </c>
      <c r="L3" s="1108" t="s">
        <v>264</v>
      </c>
    </row>
    <row r="4" spans="1:12" ht="33" customHeight="1" thickBot="1">
      <c r="A4" s="1114"/>
      <c r="B4" s="1115"/>
      <c r="C4" s="1115"/>
      <c r="D4" s="1115"/>
      <c r="E4" s="1116"/>
      <c r="F4" s="1107"/>
      <c r="G4" s="54" t="s">
        <v>108</v>
      </c>
      <c r="H4" s="46" t="s">
        <v>268</v>
      </c>
      <c r="I4" s="183" t="s">
        <v>263</v>
      </c>
      <c r="J4" s="184" t="s">
        <v>269</v>
      </c>
      <c r="K4" s="1107"/>
      <c r="L4" s="1109"/>
    </row>
    <row r="5" spans="1:12" ht="18.75" customHeight="1">
      <c r="A5" s="1101" t="s">
        <v>27</v>
      </c>
      <c r="B5" s="1104" t="s">
        <v>109</v>
      </c>
      <c r="C5" s="1105"/>
      <c r="D5" s="1105"/>
      <c r="E5" s="1106"/>
      <c r="F5" s="237">
        <f>G5+K5+L5</f>
        <v>9820800</v>
      </c>
      <c r="G5" s="237">
        <f>SUM(H5:J5)</f>
        <v>9820800</v>
      </c>
      <c r="H5" s="237">
        <f>H6+H14+H15</f>
        <v>1258862</v>
      </c>
      <c r="I5" s="237">
        <f>I6+I14+I15</f>
        <v>8561938</v>
      </c>
      <c r="J5" s="237">
        <f>J6+J14+J15</f>
        <v>0</v>
      </c>
      <c r="K5" s="237">
        <f>K6+K14+K15</f>
        <v>0</v>
      </c>
      <c r="L5" s="238">
        <f>L6+L14+L15</f>
        <v>0</v>
      </c>
    </row>
    <row r="6" spans="1:12" ht="18.75" customHeight="1">
      <c r="A6" s="1102"/>
      <c r="B6" s="958"/>
      <c r="C6" s="1087" t="s">
        <v>110</v>
      </c>
      <c r="D6" s="1092"/>
      <c r="E6" s="1088"/>
      <c r="F6" s="16">
        <f aca="true" t="shared" si="0" ref="F6:F15">G6+K6+L6</f>
        <v>9391819</v>
      </c>
      <c r="G6" s="16">
        <f aca="true" t="shared" si="1" ref="G6:G15">SUM(H6:J6)</f>
        <v>9391819</v>
      </c>
      <c r="H6" s="16">
        <f>H7+SUM(H10:H13)</f>
        <v>1258862</v>
      </c>
      <c r="I6" s="16">
        <f>I7+SUM(I10:I13)</f>
        <v>8132957</v>
      </c>
      <c r="J6" s="16">
        <f>J7+SUM(J10:J13)</f>
        <v>0</v>
      </c>
      <c r="K6" s="16">
        <f>K7+SUM(K10:K13)</f>
        <v>0</v>
      </c>
      <c r="L6" s="18">
        <f>L7+SUM(L10:L13)</f>
        <v>0</v>
      </c>
    </row>
    <row r="7" spans="1:12" ht="18.75" customHeight="1">
      <c r="A7" s="1102"/>
      <c r="B7" s="959"/>
      <c r="C7" s="958"/>
      <c r="D7" s="1087" t="s">
        <v>111</v>
      </c>
      <c r="E7" s="1088"/>
      <c r="F7" s="16">
        <f t="shared" si="0"/>
        <v>8739112</v>
      </c>
      <c r="G7" s="16">
        <f t="shared" si="1"/>
        <v>8739112</v>
      </c>
      <c r="H7" s="43">
        <v>1154562</v>
      </c>
      <c r="I7" s="43">
        <v>7584550</v>
      </c>
      <c r="J7" s="43">
        <f>J8+J9</f>
        <v>0</v>
      </c>
      <c r="K7" s="43">
        <f>K8+K9</f>
        <v>0</v>
      </c>
      <c r="L7" s="123">
        <f>L8+L9</f>
        <v>0</v>
      </c>
    </row>
    <row r="8" spans="1:12" ht="18.75" customHeight="1">
      <c r="A8" s="1102"/>
      <c r="B8" s="959"/>
      <c r="C8" s="959"/>
      <c r="D8" s="958"/>
      <c r="E8" s="50" t="s">
        <v>280</v>
      </c>
      <c r="F8" s="16">
        <f t="shared" si="0"/>
        <v>5209265</v>
      </c>
      <c r="G8" s="16">
        <f t="shared" si="1"/>
        <v>5209265</v>
      </c>
      <c r="H8" s="43">
        <v>1067011</v>
      </c>
      <c r="I8" s="43">
        <v>4142254</v>
      </c>
      <c r="J8" s="43">
        <v>0</v>
      </c>
      <c r="K8" s="43">
        <v>0</v>
      </c>
      <c r="L8" s="123">
        <v>0</v>
      </c>
    </row>
    <row r="9" spans="1:12" ht="18.75" customHeight="1">
      <c r="A9" s="1102"/>
      <c r="B9" s="959"/>
      <c r="C9" s="959"/>
      <c r="D9" s="964"/>
      <c r="E9" s="11" t="s">
        <v>112</v>
      </c>
      <c r="F9" s="16">
        <f t="shared" si="0"/>
        <v>3529847</v>
      </c>
      <c r="G9" s="16">
        <f t="shared" si="1"/>
        <v>3529847</v>
      </c>
      <c r="H9" s="43">
        <f>H7-H8</f>
        <v>87551</v>
      </c>
      <c r="I9" s="43">
        <f>I7-I8</f>
        <v>3442296</v>
      </c>
      <c r="J9" s="43">
        <v>0</v>
      </c>
      <c r="K9" s="43">
        <v>0</v>
      </c>
      <c r="L9" s="123">
        <v>0</v>
      </c>
    </row>
    <row r="10" spans="1:12" ht="18.75" customHeight="1">
      <c r="A10" s="1102"/>
      <c r="B10" s="959"/>
      <c r="C10" s="959"/>
      <c r="D10" s="1087" t="s">
        <v>113</v>
      </c>
      <c r="E10" s="1088"/>
      <c r="F10" s="16">
        <f>G10+K10+L10</f>
        <v>120746</v>
      </c>
      <c r="G10" s="16">
        <f t="shared" si="1"/>
        <v>120746</v>
      </c>
      <c r="H10" s="43">
        <v>8358</v>
      </c>
      <c r="I10" s="43">
        <v>112388</v>
      </c>
      <c r="J10" s="43">
        <v>0</v>
      </c>
      <c r="K10" s="43">
        <v>0</v>
      </c>
      <c r="L10" s="123">
        <v>0</v>
      </c>
    </row>
    <row r="11" spans="1:12" ht="18.75" customHeight="1">
      <c r="A11" s="1102"/>
      <c r="B11" s="959"/>
      <c r="C11" s="959"/>
      <c r="D11" s="1087" t="s">
        <v>114</v>
      </c>
      <c r="E11" s="1088"/>
      <c r="F11" s="16">
        <f t="shared" si="0"/>
        <v>271278</v>
      </c>
      <c r="G11" s="16">
        <f t="shared" si="1"/>
        <v>271278</v>
      </c>
      <c r="H11" s="43">
        <v>2956</v>
      </c>
      <c r="I11" s="43">
        <v>268322</v>
      </c>
      <c r="J11" s="43">
        <v>0</v>
      </c>
      <c r="K11" s="43">
        <v>0</v>
      </c>
      <c r="L11" s="123">
        <v>0</v>
      </c>
    </row>
    <row r="12" spans="1:12" ht="18.75" customHeight="1">
      <c r="A12" s="1102"/>
      <c r="B12" s="959"/>
      <c r="C12" s="959"/>
      <c r="D12" s="1087" t="s">
        <v>115</v>
      </c>
      <c r="E12" s="1088"/>
      <c r="F12" s="16">
        <f t="shared" si="0"/>
        <v>256511</v>
      </c>
      <c r="G12" s="16">
        <f t="shared" si="1"/>
        <v>256511</v>
      </c>
      <c r="H12" s="43">
        <v>92986</v>
      </c>
      <c r="I12" s="43">
        <v>163525</v>
      </c>
      <c r="J12" s="43">
        <v>0</v>
      </c>
      <c r="K12" s="43">
        <v>0</v>
      </c>
      <c r="L12" s="123">
        <v>0</v>
      </c>
    </row>
    <row r="13" spans="1:12" ht="18.75" customHeight="1">
      <c r="A13" s="1102"/>
      <c r="B13" s="959"/>
      <c r="C13" s="964"/>
      <c r="D13" s="1087" t="s">
        <v>116</v>
      </c>
      <c r="E13" s="1088"/>
      <c r="F13" s="16">
        <f t="shared" si="0"/>
        <v>4172</v>
      </c>
      <c r="G13" s="16">
        <f t="shared" si="1"/>
        <v>4172</v>
      </c>
      <c r="H13" s="43">
        <v>0</v>
      </c>
      <c r="I13" s="43">
        <v>4172</v>
      </c>
      <c r="J13" s="43">
        <v>0</v>
      </c>
      <c r="K13" s="43">
        <v>0</v>
      </c>
      <c r="L13" s="123">
        <v>0</v>
      </c>
    </row>
    <row r="14" spans="1:12" ht="18.75" customHeight="1">
      <c r="A14" s="1102"/>
      <c r="B14" s="959"/>
      <c r="C14" s="1087" t="s">
        <v>117</v>
      </c>
      <c r="D14" s="1092"/>
      <c r="E14" s="1088"/>
      <c r="F14" s="16">
        <f t="shared" si="0"/>
        <v>177031</v>
      </c>
      <c r="G14" s="16">
        <f t="shared" si="1"/>
        <v>177031</v>
      </c>
      <c r="H14" s="43">
        <v>0</v>
      </c>
      <c r="I14" s="43">
        <v>177031</v>
      </c>
      <c r="J14" s="43">
        <v>0</v>
      </c>
      <c r="K14" s="43">
        <v>0</v>
      </c>
      <c r="L14" s="123">
        <v>0</v>
      </c>
    </row>
    <row r="15" spans="1:12" ht="18.75" customHeight="1" thickBot="1">
      <c r="A15" s="1103"/>
      <c r="B15" s="968"/>
      <c r="C15" s="1093" t="s">
        <v>118</v>
      </c>
      <c r="D15" s="1094"/>
      <c r="E15" s="1095"/>
      <c r="F15" s="35">
        <f t="shared" si="0"/>
        <v>251950</v>
      </c>
      <c r="G15" s="35">
        <f t="shared" si="1"/>
        <v>251950</v>
      </c>
      <c r="H15" s="124">
        <v>0</v>
      </c>
      <c r="I15" s="124">
        <v>251950</v>
      </c>
      <c r="J15" s="124">
        <v>0</v>
      </c>
      <c r="K15" s="124">
        <v>0</v>
      </c>
      <c r="L15" s="125">
        <v>0</v>
      </c>
    </row>
    <row r="16" spans="1:14" ht="18.75" customHeight="1" thickTop="1">
      <c r="A16" s="1096" t="s">
        <v>126</v>
      </c>
      <c r="B16" s="1098" t="s">
        <v>109</v>
      </c>
      <c r="C16" s="1099"/>
      <c r="D16" s="1099"/>
      <c r="E16" s="1100"/>
      <c r="F16" s="235">
        <f>ROUND(F5*1000/$L$2,0)</f>
        <v>6551568</v>
      </c>
      <c r="G16" s="235">
        <f aca="true" t="shared" si="2" ref="G16:L16">ROUND(G5*1000/$L$2,0)</f>
        <v>6551568</v>
      </c>
      <c r="H16" s="235">
        <f t="shared" si="2"/>
        <v>839801</v>
      </c>
      <c r="I16" s="235">
        <f t="shared" si="2"/>
        <v>5711767</v>
      </c>
      <c r="J16" s="235">
        <f t="shared" si="2"/>
        <v>0</v>
      </c>
      <c r="K16" s="235">
        <f t="shared" si="2"/>
        <v>0</v>
      </c>
      <c r="L16" s="236">
        <f t="shared" si="2"/>
        <v>0</v>
      </c>
      <c r="M16" s="121" t="s">
        <v>298</v>
      </c>
      <c r="N16" s="121" t="s">
        <v>282</v>
      </c>
    </row>
    <row r="17" spans="1:12" ht="18.75" customHeight="1">
      <c r="A17" s="1096"/>
      <c r="B17" s="958"/>
      <c r="C17" s="1087" t="s">
        <v>110</v>
      </c>
      <c r="D17" s="1092"/>
      <c r="E17" s="1088"/>
      <c r="F17" s="49">
        <f aca="true" t="shared" si="3" ref="F17:L17">ROUND(F6*1000/$L$2,0)</f>
        <v>6265390</v>
      </c>
      <c r="G17" s="49">
        <f t="shared" si="3"/>
        <v>6265390</v>
      </c>
      <c r="H17" s="49">
        <f t="shared" si="3"/>
        <v>839801</v>
      </c>
      <c r="I17" s="49">
        <f t="shared" si="3"/>
        <v>5425588</v>
      </c>
      <c r="J17" s="49">
        <f t="shared" si="3"/>
        <v>0</v>
      </c>
      <c r="K17" s="49">
        <f t="shared" si="3"/>
        <v>0</v>
      </c>
      <c r="L17" s="58">
        <f t="shared" si="3"/>
        <v>0</v>
      </c>
    </row>
    <row r="18" spans="1:12" ht="18.75" customHeight="1">
      <c r="A18" s="1096"/>
      <c r="B18" s="959"/>
      <c r="C18" s="958"/>
      <c r="D18" s="1087" t="s">
        <v>111</v>
      </c>
      <c r="E18" s="1088"/>
      <c r="F18" s="49">
        <f aca="true" t="shared" si="4" ref="F18:L18">ROUND(F7*1000/$L$2,0)</f>
        <v>5829961</v>
      </c>
      <c r="G18" s="49">
        <f t="shared" si="4"/>
        <v>5829961</v>
      </c>
      <c r="H18" s="49">
        <f t="shared" si="4"/>
        <v>770221</v>
      </c>
      <c r="I18" s="49">
        <f t="shared" si="4"/>
        <v>5059740</v>
      </c>
      <c r="J18" s="49">
        <f t="shared" si="4"/>
        <v>0</v>
      </c>
      <c r="K18" s="49">
        <f t="shared" si="4"/>
        <v>0</v>
      </c>
      <c r="L18" s="58">
        <f t="shared" si="4"/>
        <v>0</v>
      </c>
    </row>
    <row r="19" spans="1:12" ht="18.75" customHeight="1">
      <c r="A19" s="1096"/>
      <c r="B19" s="959"/>
      <c r="C19" s="959"/>
      <c r="D19" s="958"/>
      <c r="E19" s="50" t="s">
        <v>281</v>
      </c>
      <c r="F19" s="49">
        <f aca="true" t="shared" si="5" ref="F19:L19">ROUND(F8*1000/$L$2,0)</f>
        <v>3475160</v>
      </c>
      <c r="G19" s="49">
        <f t="shared" si="5"/>
        <v>3475160</v>
      </c>
      <c r="H19" s="49">
        <f t="shared" si="5"/>
        <v>711815</v>
      </c>
      <c r="I19" s="49">
        <f t="shared" si="5"/>
        <v>2763345</v>
      </c>
      <c r="J19" s="49">
        <f t="shared" si="5"/>
        <v>0</v>
      </c>
      <c r="K19" s="49">
        <f t="shared" si="5"/>
        <v>0</v>
      </c>
      <c r="L19" s="58">
        <f t="shared" si="5"/>
        <v>0</v>
      </c>
    </row>
    <row r="20" spans="1:12" ht="18.75" customHeight="1">
      <c r="A20" s="1096"/>
      <c r="B20" s="959"/>
      <c r="C20" s="959"/>
      <c r="D20" s="964"/>
      <c r="E20" s="11" t="s">
        <v>112</v>
      </c>
      <c r="F20" s="49">
        <f aca="true" t="shared" si="6" ref="F20:L20">ROUND(F9*1000/$L$2,0)</f>
        <v>2354801</v>
      </c>
      <c r="G20" s="49">
        <f t="shared" si="6"/>
        <v>2354801</v>
      </c>
      <c r="H20" s="49">
        <f t="shared" si="6"/>
        <v>58406</v>
      </c>
      <c r="I20" s="49">
        <f t="shared" si="6"/>
        <v>2296395</v>
      </c>
      <c r="J20" s="49">
        <f t="shared" si="6"/>
        <v>0</v>
      </c>
      <c r="K20" s="49">
        <f t="shared" si="6"/>
        <v>0</v>
      </c>
      <c r="L20" s="58">
        <f t="shared" si="6"/>
        <v>0</v>
      </c>
    </row>
    <row r="21" spans="1:12" ht="18.75" customHeight="1">
      <c r="A21" s="1096"/>
      <c r="B21" s="959"/>
      <c r="C21" s="959"/>
      <c r="D21" s="1087" t="s">
        <v>113</v>
      </c>
      <c r="E21" s="1088"/>
      <c r="F21" s="49">
        <f aca="true" t="shared" si="7" ref="F21:L21">ROUND(F10*1000/$L$2,0)</f>
        <v>80551</v>
      </c>
      <c r="G21" s="49">
        <f t="shared" si="7"/>
        <v>80551</v>
      </c>
      <c r="H21" s="49">
        <f t="shared" si="7"/>
        <v>5576</v>
      </c>
      <c r="I21" s="49">
        <f t="shared" si="7"/>
        <v>74975</v>
      </c>
      <c r="J21" s="49">
        <f t="shared" si="7"/>
        <v>0</v>
      </c>
      <c r="K21" s="49">
        <f t="shared" si="7"/>
        <v>0</v>
      </c>
      <c r="L21" s="58">
        <f t="shared" si="7"/>
        <v>0</v>
      </c>
    </row>
    <row r="22" spans="1:12" ht="18.75" customHeight="1">
      <c r="A22" s="1096"/>
      <c r="B22" s="959"/>
      <c r="C22" s="959"/>
      <c r="D22" s="1087" t="s">
        <v>114</v>
      </c>
      <c r="E22" s="1088"/>
      <c r="F22" s="49">
        <f aca="true" t="shared" si="8" ref="F22:L22">ROUND(F11*1000/$L$2,0)</f>
        <v>180973</v>
      </c>
      <c r="G22" s="49">
        <f t="shared" si="8"/>
        <v>180973</v>
      </c>
      <c r="H22" s="49">
        <f t="shared" si="8"/>
        <v>1972</v>
      </c>
      <c r="I22" s="49">
        <f t="shared" si="8"/>
        <v>179001</v>
      </c>
      <c r="J22" s="49">
        <f t="shared" si="8"/>
        <v>0</v>
      </c>
      <c r="K22" s="49">
        <f t="shared" si="8"/>
        <v>0</v>
      </c>
      <c r="L22" s="58">
        <f t="shared" si="8"/>
        <v>0</v>
      </c>
    </row>
    <row r="23" spans="1:12" ht="18.75" customHeight="1">
      <c r="A23" s="1096"/>
      <c r="B23" s="959"/>
      <c r="C23" s="959"/>
      <c r="D23" s="1087" t="s">
        <v>115</v>
      </c>
      <c r="E23" s="1088"/>
      <c r="F23" s="49">
        <f aca="true" t="shared" si="9" ref="F23:L23">ROUND(F12*1000/$L$2,0)</f>
        <v>171121</v>
      </c>
      <c r="G23" s="49">
        <f t="shared" si="9"/>
        <v>171121</v>
      </c>
      <c r="H23" s="49">
        <f t="shared" si="9"/>
        <v>62032</v>
      </c>
      <c r="I23" s="49">
        <f t="shared" si="9"/>
        <v>109089</v>
      </c>
      <c r="J23" s="49">
        <f t="shared" si="9"/>
        <v>0</v>
      </c>
      <c r="K23" s="49">
        <f t="shared" si="9"/>
        <v>0</v>
      </c>
      <c r="L23" s="58">
        <f t="shared" si="9"/>
        <v>0</v>
      </c>
    </row>
    <row r="24" spans="1:12" ht="18.75" customHeight="1">
      <c r="A24" s="1096"/>
      <c r="B24" s="959"/>
      <c r="C24" s="964"/>
      <c r="D24" s="1087" t="s">
        <v>116</v>
      </c>
      <c r="E24" s="1088"/>
      <c r="F24" s="49">
        <f aca="true" t="shared" si="10" ref="F24:L24">ROUND(F13*1000/$L$2,0)</f>
        <v>2783</v>
      </c>
      <c r="G24" s="49">
        <f t="shared" si="10"/>
        <v>2783</v>
      </c>
      <c r="H24" s="49">
        <f t="shared" si="10"/>
        <v>0</v>
      </c>
      <c r="I24" s="49">
        <f t="shared" si="10"/>
        <v>2783</v>
      </c>
      <c r="J24" s="49">
        <f t="shared" si="10"/>
        <v>0</v>
      </c>
      <c r="K24" s="49">
        <f t="shared" si="10"/>
        <v>0</v>
      </c>
      <c r="L24" s="58">
        <f t="shared" si="10"/>
        <v>0</v>
      </c>
    </row>
    <row r="25" spans="1:12" ht="18.75" customHeight="1">
      <c r="A25" s="1096"/>
      <c r="B25" s="959"/>
      <c r="C25" s="1087" t="s">
        <v>117</v>
      </c>
      <c r="D25" s="1092"/>
      <c r="E25" s="1088"/>
      <c r="F25" s="49">
        <f aca="true" t="shared" si="11" ref="F25:L25">ROUND(F14*1000/$L$2,0)</f>
        <v>118099</v>
      </c>
      <c r="G25" s="49">
        <f t="shared" si="11"/>
        <v>118099</v>
      </c>
      <c r="H25" s="49">
        <f t="shared" si="11"/>
        <v>0</v>
      </c>
      <c r="I25" s="49">
        <f t="shared" si="11"/>
        <v>118099</v>
      </c>
      <c r="J25" s="49">
        <f t="shared" si="11"/>
        <v>0</v>
      </c>
      <c r="K25" s="49">
        <f t="shared" si="11"/>
        <v>0</v>
      </c>
      <c r="L25" s="58">
        <f t="shared" si="11"/>
        <v>0</v>
      </c>
    </row>
    <row r="26" spans="1:12" ht="18.75" customHeight="1" thickBot="1">
      <c r="A26" s="1097"/>
      <c r="B26" s="960"/>
      <c r="C26" s="1089" t="s">
        <v>118</v>
      </c>
      <c r="D26" s="1090"/>
      <c r="E26" s="1091"/>
      <c r="F26" s="41">
        <f aca="true" t="shared" si="12" ref="F26:L26">ROUND(F15*1000/$L$2,0)</f>
        <v>168079</v>
      </c>
      <c r="G26" s="41">
        <f t="shared" si="12"/>
        <v>168079</v>
      </c>
      <c r="H26" s="41">
        <f t="shared" si="12"/>
        <v>0</v>
      </c>
      <c r="I26" s="41">
        <f t="shared" si="12"/>
        <v>168079</v>
      </c>
      <c r="J26" s="41">
        <f t="shared" si="12"/>
        <v>0</v>
      </c>
      <c r="K26" s="41">
        <f t="shared" si="12"/>
        <v>0</v>
      </c>
      <c r="L26" s="42">
        <f t="shared" si="12"/>
        <v>0</v>
      </c>
    </row>
    <row r="27" ht="19.5" customHeight="1">
      <c r="A27" s="7" t="s">
        <v>120</v>
      </c>
    </row>
  </sheetData>
  <sheetProtection/>
  <mergeCells count="32">
    <mergeCell ref="K3:K4"/>
    <mergeCell ref="L3:L4"/>
    <mergeCell ref="A1:H1"/>
    <mergeCell ref="A3:E4"/>
    <mergeCell ref="F3:F4"/>
    <mergeCell ref="G3:J3"/>
    <mergeCell ref="A5:A15"/>
    <mergeCell ref="B5:E5"/>
    <mergeCell ref="B6:B15"/>
    <mergeCell ref="C6:E6"/>
    <mergeCell ref="C7:C13"/>
    <mergeCell ref="D7:E7"/>
    <mergeCell ref="D8:D9"/>
    <mergeCell ref="D10:E10"/>
    <mergeCell ref="D11:E11"/>
    <mergeCell ref="D12:E12"/>
    <mergeCell ref="D13:E13"/>
    <mergeCell ref="C14:E14"/>
    <mergeCell ref="C15:E15"/>
    <mergeCell ref="A16:A26"/>
    <mergeCell ref="B16:E16"/>
    <mergeCell ref="B17:B26"/>
    <mergeCell ref="C17:E17"/>
    <mergeCell ref="C18:C24"/>
    <mergeCell ref="D18:E18"/>
    <mergeCell ref="D19:D20"/>
    <mergeCell ref="D21:E21"/>
    <mergeCell ref="C26:E26"/>
    <mergeCell ref="D22:E22"/>
    <mergeCell ref="D23:E23"/>
    <mergeCell ref="D24:E24"/>
    <mergeCell ref="C25:E25"/>
  </mergeCells>
  <printOptions/>
  <pageMargins left="0.7" right="0.57" top="1" bottom="1" header="0.512" footer="0.512"/>
  <pageSetup horizontalDpi="300" verticalDpi="300" orientation="landscape" paperSize="9" scale="95" r:id="rId1"/>
</worksheet>
</file>

<file path=xl/worksheets/sheet12.xml><?xml version="1.0" encoding="utf-8"?>
<worksheet xmlns="http://schemas.openxmlformats.org/spreadsheetml/2006/main" xmlns:r="http://schemas.openxmlformats.org/officeDocument/2006/relationships">
  <sheetPr codeName="Sheet12"/>
  <dimension ref="A1:N27"/>
  <sheetViews>
    <sheetView zoomScalePageLayoutView="0" workbookViewId="0" topLeftCell="A1">
      <selection activeCell="A1" sqref="A1:H1"/>
    </sheetView>
  </sheetViews>
  <sheetFormatPr defaultColWidth="9.00390625" defaultRowHeight="13.5"/>
  <cols>
    <col min="1" max="1" width="4.125" style="7" customWidth="1"/>
    <col min="2" max="2" width="2.375" style="7" customWidth="1"/>
    <col min="3" max="3" width="2.50390625" style="7" customWidth="1"/>
    <col min="4" max="4" width="2.625" style="7" customWidth="1"/>
    <col min="5" max="5" width="14.875" style="7" customWidth="1"/>
    <col min="6" max="6" width="12.50390625" style="7" customWidth="1"/>
    <col min="7" max="10" width="11.75390625" style="7" customWidth="1"/>
    <col min="11" max="11" width="10.875" style="7" customWidth="1"/>
    <col min="12" max="12" width="9.875" style="7" customWidth="1"/>
    <col min="13" max="13" width="9.00390625" style="7" customWidth="1"/>
    <col min="14" max="14" width="12.75390625" style="7" bestFit="1" customWidth="1"/>
    <col min="15" max="16384" width="9.00390625" style="7" customWidth="1"/>
  </cols>
  <sheetData>
    <row r="1" spans="1:8" ht="21" customHeight="1">
      <c r="A1" s="1110" t="s">
        <v>127</v>
      </c>
      <c r="B1" s="1110"/>
      <c r="C1" s="1110"/>
      <c r="D1" s="1110"/>
      <c r="E1" s="1110"/>
      <c r="F1" s="1110"/>
      <c r="G1" s="1110"/>
      <c r="H1" s="1110"/>
    </row>
    <row r="2" spans="11:12" ht="21" customHeight="1" thickBot="1">
      <c r="K2" s="52" t="s">
        <v>125</v>
      </c>
      <c r="L2" s="381">
        <f>'表５'!K31</f>
        <v>23513</v>
      </c>
    </row>
    <row r="3" spans="1:12" ht="16.5" customHeight="1">
      <c r="A3" s="1111" t="s">
        <v>106</v>
      </c>
      <c r="B3" s="1112"/>
      <c r="C3" s="1112"/>
      <c r="D3" s="1112"/>
      <c r="E3" s="1113"/>
      <c r="F3" s="1053" t="s">
        <v>28</v>
      </c>
      <c r="G3" s="1048" t="s">
        <v>93</v>
      </c>
      <c r="H3" s="1049"/>
      <c r="I3" s="1049"/>
      <c r="J3" s="1049"/>
      <c r="K3" s="1053" t="s">
        <v>107</v>
      </c>
      <c r="L3" s="1108" t="s">
        <v>264</v>
      </c>
    </row>
    <row r="4" spans="1:12" ht="33" customHeight="1" thickBot="1">
      <c r="A4" s="1114"/>
      <c r="B4" s="1115"/>
      <c r="C4" s="1115"/>
      <c r="D4" s="1115"/>
      <c r="E4" s="1116"/>
      <c r="F4" s="1107"/>
      <c r="G4" s="54" t="s">
        <v>108</v>
      </c>
      <c r="H4" s="46" t="s">
        <v>268</v>
      </c>
      <c r="I4" s="183" t="s">
        <v>263</v>
      </c>
      <c r="J4" s="184" t="s">
        <v>269</v>
      </c>
      <c r="K4" s="1107"/>
      <c r="L4" s="1109"/>
    </row>
    <row r="5" spans="1:14" ht="18.75" customHeight="1">
      <c r="A5" s="1101" t="s">
        <v>27</v>
      </c>
      <c r="B5" s="1104" t="s">
        <v>109</v>
      </c>
      <c r="C5" s="1105"/>
      <c r="D5" s="1105"/>
      <c r="E5" s="1106"/>
      <c r="F5" s="237">
        <f aca="true" t="shared" si="0" ref="F5:F15">G5+K5+L5</f>
        <v>31278749</v>
      </c>
      <c r="G5" s="237">
        <f>SUM(H5:J5)</f>
        <v>31192749</v>
      </c>
      <c r="H5" s="237">
        <f>H6+H14+H15</f>
        <v>399673</v>
      </c>
      <c r="I5" s="237">
        <f>I6+I14+I15</f>
        <v>30793076</v>
      </c>
      <c r="J5" s="237">
        <f>J6+J14+J15</f>
        <v>0</v>
      </c>
      <c r="K5" s="237">
        <f>K6+K14+K15</f>
        <v>86000</v>
      </c>
      <c r="L5" s="238">
        <f>L6+L14+L15</f>
        <v>0</v>
      </c>
      <c r="N5" s="94"/>
    </row>
    <row r="6" spans="1:14" ht="18.75" customHeight="1">
      <c r="A6" s="1102"/>
      <c r="B6" s="958"/>
      <c r="C6" s="1087" t="s">
        <v>110</v>
      </c>
      <c r="D6" s="1092"/>
      <c r="E6" s="1088"/>
      <c r="F6" s="16">
        <f t="shared" si="0"/>
        <v>27394796</v>
      </c>
      <c r="G6" s="16">
        <f aca="true" t="shared" si="1" ref="G6:G15">SUM(H6:J6)</f>
        <v>27394796</v>
      </c>
      <c r="H6" s="16">
        <f>H7+SUM(H10:H13)</f>
        <v>362583</v>
      </c>
      <c r="I6" s="16">
        <f>I7+SUM(I10:I13)</f>
        <v>27032213</v>
      </c>
      <c r="J6" s="16">
        <f>J7+SUM(J10:J13)</f>
        <v>0</v>
      </c>
      <c r="K6" s="16">
        <f>K7+SUM(K10:K13)</f>
        <v>0</v>
      </c>
      <c r="L6" s="18">
        <f>L7+SUM(L10:L13)</f>
        <v>0</v>
      </c>
      <c r="N6" s="94"/>
    </row>
    <row r="7" spans="1:12" ht="18.75" customHeight="1">
      <c r="A7" s="1102"/>
      <c r="B7" s="959"/>
      <c r="C7" s="958"/>
      <c r="D7" s="1087" t="s">
        <v>111</v>
      </c>
      <c r="E7" s="1088"/>
      <c r="F7" s="16">
        <f t="shared" si="0"/>
        <v>22162716</v>
      </c>
      <c r="G7" s="16">
        <f t="shared" si="1"/>
        <v>22162716</v>
      </c>
      <c r="H7" s="43">
        <v>20506</v>
      </c>
      <c r="I7" s="43">
        <v>22142210</v>
      </c>
      <c r="J7" s="43">
        <f>J8+J9</f>
        <v>0</v>
      </c>
      <c r="K7" s="43">
        <f>K8+K9</f>
        <v>0</v>
      </c>
      <c r="L7" s="123">
        <f>L8+L9</f>
        <v>0</v>
      </c>
    </row>
    <row r="8" spans="1:12" ht="18.75" customHeight="1">
      <c r="A8" s="1102"/>
      <c r="B8" s="959"/>
      <c r="C8" s="959"/>
      <c r="D8" s="958"/>
      <c r="E8" s="50" t="s">
        <v>280</v>
      </c>
      <c r="F8" s="16">
        <f t="shared" si="0"/>
        <v>14473357</v>
      </c>
      <c r="G8" s="16">
        <f t="shared" si="1"/>
        <v>14473357</v>
      </c>
      <c r="H8" s="43">
        <v>0</v>
      </c>
      <c r="I8" s="43">
        <v>14473357</v>
      </c>
      <c r="J8" s="43">
        <v>0</v>
      </c>
      <c r="K8" s="43">
        <v>0</v>
      </c>
      <c r="L8" s="123">
        <v>0</v>
      </c>
    </row>
    <row r="9" spans="1:12" ht="18.75" customHeight="1">
      <c r="A9" s="1102"/>
      <c r="B9" s="959"/>
      <c r="C9" s="959"/>
      <c r="D9" s="964"/>
      <c r="E9" s="11" t="s">
        <v>112</v>
      </c>
      <c r="F9" s="16">
        <f t="shared" si="0"/>
        <v>7689359</v>
      </c>
      <c r="G9" s="16">
        <f t="shared" si="1"/>
        <v>7689359</v>
      </c>
      <c r="H9" s="43">
        <f>H7-H8</f>
        <v>20506</v>
      </c>
      <c r="I9" s="43">
        <f>I7-I8</f>
        <v>7668853</v>
      </c>
      <c r="J9" s="43">
        <v>0</v>
      </c>
      <c r="K9" s="43">
        <v>0</v>
      </c>
      <c r="L9" s="123">
        <v>0</v>
      </c>
    </row>
    <row r="10" spans="1:12" ht="18.75" customHeight="1">
      <c r="A10" s="1102"/>
      <c r="B10" s="959"/>
      <c r="C10" s="959"/>
      <c r="D10" s="1087" t="s">
        <v>113</v>
      </c>
      <c r="E10" s="1088"/>
      <c r="F10" s="16">
        <f t="shared" si="0"/>
        <v>618877</v>
      </c>
      <c r="G10" s="16">
        <f t="shared" si="1"/>
        <v>618877</v>
      </c>
      <c r="H10" s="43">
        <v>37156</v>
      </c>
      <c r="I10" s="43">
        <v>581721</v>
      </c>
      <c r="J10" s="43">
        <v>0</v>
      </c>
      <c r="K10" s="43">
        <v>0</v>
      </c>
      <c r="L10" s="123">
        <v>0</v>
      </c>
    </row>
    <row r="11" spans="1:12" ht="18.75" customHeight="1">
      <c r="A11" s="1102"/>
      <c r="B11" s="959"/>
      <c r="C11" s="959"/>
      <c r="D11" s="1087" t="s">
        <v>114</v>
      </c>
      <c r="E11" s="1088"/>
      <c r="F11" s="16">
        <f t="shared" si="0"/>
        <v>1561652</v>
      </c>
      <c r="G11" s="16">
        <f t="shared" si="1"/>
        <v>1561652</v>
      </c>
      <c r="H11" s="43">
        <v>77558</v>
      </c>
      <c r="I11" s="43">
        <v>1484094</v>
      </c>
      <c r="J11" s="43">
        <v>0</v>
      </c>
      <c r="K11" s="43">
        <v>0</v>
      </c>
      <c r="L11" s="123">
        <v>0</v>
      </c>
    </row>
    <row r="12" spans="1:12" ht="18.75" customHeight="1">
      <c r="A12" s="1102"/>
      <c r="B12" s="959"/>
      <c r="C12" s="959"/>
      <c r="D12" s="1087" t="s">
        <v>115</v>
      </c>
      <c r="E12" s="1088"/>
      <c r="F12" s="16">
        <f t="shared" si="0"/>
        <v>2974733</v>
      </c>
      <c r="G12" s="16">
        <f t="shared" si="1"/>
        <v>2974733</v>
      </c>
      <c r="H12" s="43">
        <v>227363</v>
      </c>
      <c r="I12" s="43">
        <v>2747370</v>
      </c>
      <c r="J12" s="43">
        <v>0</v>
      </c>
      <c r="K12" s="43">
        <v>0</v>
      </c>
      <c r="L12" s="123">
        <v>0</v>
      </c>
    </row>
    <row r="13" spans="1:12" ht="18.75" customHeight="1">
      <c r="A13" s="1102"/>
      <c r="B13" s="959"/>
      <c r="C13" s="964"/>
      <c r="D13" s="1087" t="s">
        <v>116</v>
      </c>
      <c r="E13" s="1088"/>
      <c r="F13" s="16">
        <f t="shared" si="0"/>
        <v>76818</v>
      </c>
      <c r="G13" s="16">
        <f t="shared" si="1"/>
        <v>76818</v>
      </c>
      <c r="H13" s="43">
        <v>0</v>
      </c>
      <c r="I13" s="43">
        <v>76818</v>
      </c>
      <c r="J13" s="43">
        <v>0</v>
      </c>
      <c r="K13" s="43">
        <v>0</v>
      </c>
      <c r="L13" s="123">
        <v>0</v>
      </c>
    </row>
    <row r="14" spans="1:12" ht="18.75" customHeight="1">
      <c r="A14" s="1102"/>
      <c r="B14" s="959"/>
      <c r="C14" s="1087" t="s">
        <v>117</v>
      </c>
      <c r="D14" s="1092"/>
      <c r="E14" s="1088"/>
      <c r="F14" s="16">
        <f t="shared" si="0"/>
        <v>2829420</v>
      </c>
      <c r="G14" s="16">
        <f t="shared" si="1"/>
        <v>2743420</v>
      </c>
      <c r="H14" s="43">
        <v>37090</v>
      </c>
      <c r="I14" s="43">
        <v>2706330</v>
      </c>
      <c r="J14" s="43">
        <v>0</v>
      </c>
      <c r="K14" s="43">
        <v>86000</v>
      </c>
      <c r="L14" s="123">
        <v>0</v>
      </c>
    </row>
    <row r="15" spans="1:12" ht="18.75" customHeight="1" thickBot="1">
      <c r="A15" s="1103"/>
      <c r="B15" s="968"/>
      <c r="C15" s="1093" t="s">
        <v>118</v>
      </c>
      <c r="D15" s="1094"/>
      <c r="E15" s="1095"/>
      <c r="F15" s="51">
        <f t="shared" si="0"/>
        <v>1054533</v>
      </c>
      <c r="G15" s="51">
        <f t="shared" si="1"/>
        <v>1054533</v>
      </c>
      <c r="H15" s="444">
        <v>0</v>
      </c>
      <c r="I15" s="444">
        <v>1054533</v>
      </c>
      <c r="J15" s="444">
        <v>0</v>
      </c>
      <c r="K15" s="444">
        <v>0</v>
      </c>
      <c r="L15" s="445">
        <v>0</v>
      </c>
    </row>
    <row r="16" spans="1:12" ht="18.75" customHeight="1" thickTop="1">
      <c r="A16" s="1096" t="s">
        <v>126</v>
      </c>
      <c r="B16" s="1098" t="s">
        <v>109</v>
      </c>
      <c r="C16" s="1099"/>
      <c r="D16" s="1099"/>
      <c r="E16" s="1100"/>
      <c r="F16" s="235">
        <f>ROUND(F5*1000/$L$2,0)</f>
        <v>1330275</v>
      </c>
      <c r="G16" s="235">
        <f aca="true" t="shared" si="2" ref="G16:L16">ROUND(G5*1000/$L$2,0)</f>
        <v>1326617</v>
      </c>
      <c r="H16" s="235">
        <f t="shared" si="2"/>
        <v>16998</v>
      </c>
      <c r="I16" s="235">
        <f t="shared" si="2"/>
        <v>1309619</v>
      </c>
      <c r="J16" s="235">
        <f t="shared" si="2"/>
        <v>0</v>
      </c>
      <c r="K16" s="235">
        <f t="shared" si="2"/>
        <v>3658</v>
      </c>
      <c r="L16" s="236">
        <f t="shared" si="2"/>
        <v>0</v>
      </c>
    </row>
    <row r="17" spans="1:12" ht="18.75" customHeight="1">
      <c r="A17" s="1096"/>
      <c r="B17" s="958"/>
      <c r="C17" s="1087" t="s">
        <v>110</v>
      </c>
      <c r="D17" s="1092"/>
      <c r="E17" s="1088"/>
      <c r="F17" s="49">
        <f aca="true" t="shared" si="3" ref="F17:L17">ROUND(F6*1000/$L$2,0)</f>
        <v>1165091</v>
      </c>
      <c r="G17" s="49">
        <f t="shared" si="3"/>
        <v>1165091</v>
      </c>
      <c r="H17" s="49">
        <f t="shared" si="3"/>
        <v>15421</v>
      </c>
      <c r="I17" s="49">
        <f t="shared" si="3"/>
        <v>1149671</v>
      </c>
      <c r="J17" s="49">
        <f t="shared" si="3"/>
        <v>0</v>
      </c>
      <c r="K17" s="49">
        <f t="shared" si="3"/>
        <v>0</v>
      </c>
      <c r="L17" s="58">
        <f t="shared" si="3"/>
        <v>0</v>
      </c>
    </row>
    <row r="18" spans="1:12" ht="18.75" customHeight="1">
      <c r="A18" s="1096"/>
      <c r="B18" s="959"/>
      <c r="C18" s="958"/>
      <c r="D18" s="1087" t="s">
        <v>111</v>
      </c>
      <c r="E18" s="1088"/>
      <c r="F18" s="49">
        <f aca="true" t="shared" si="4" ref="F18:L18">ROUND(F7*1000/$L$2,0)</f>
        <v>942573</v>
      </c>
      <c r="G18" s="49">
        <f t="shared" si="4"/>
        <v>942573</v>
      </c>
      <c r="H18" s="49">
        <f t="shared" si="4"/>
        <v>872</v>
      </c>
      <c r="I18" s="49">
        <f t="shared" si="4"/>
        <v>941701</v>
      </c>
      <c r="J18" s="49">
        <f t="shared" si="4"/>
        <v>0</v>
      </c>
      <c r="K18" s="49">
        <f t="shared" si="4"/>
        <v>0</v>
      </c>
      <c r="L18" s="58">
        <f t="shared" si="4"/>
        <v>0</v>
      </c>
    </row>
    <row r="19" spans="1:12" ht="18.75" customHeight="1">
      <c r="A19" s="1096"/>
      <c r="B19" s="959"/>
      <c r="C19" s="959"/>
      <c r="D19" s="958"/>
      <c r="E19" s="50" t="s">
        <v>281</v>
      </c>
      <c r="F19" s="49">
        <f aca="true" t="shared" si="5" ref="F19:L19">ROUND(F8*1000/$L$2,0)</f>
        <v>615547</v>
      </c>
      <c r="G19" s="49">
        <f t="shared" si="5"/>
        <v>615547</v>
      </c>
      <c r="H19" s="49">
        <f t="shared" si="5"/>
        <v>0</v>
      </c>
      <c r="I19" s="49">
        <f t="shared" si="5"/>
        <v>615547</v>
      </c>
      <c r="J19" s="49">
        <f t="shared" si="5"/>
        <v>0</v>
      </c>
      <c r="K19" s="49">
        <f t="shared" si="5"/>
        <v>0</v>
      </c>
      <c r="L19" s="58">
        <f t="shared" si="5"/>
        <v>0</v>
      </c>
    </row>
    <row r="20" spans="1:12" ht="18.75" customHeight="1">
      <c r="A20" s="1096"/>
      <c r="B20" s="959"/>
      <c r="C20" s="959"/>
      <c r="D20" s="964"/>
      <c r="E20" s="11" t="s">
        <v>112</v>
      </c>
      <c r="F20" s="49">
        <f aca="true" t="shared" si="6" ref="F20:L20">ROUND(F9*1000/$L$2,0)</f>
        <v>327026</v>
      </c>
      <c r="G20" s="49">
        <f t="shared" si="6"/>
        <v>327026</v>
      </c>
      <c r="H20" s="49">
        <f t="shared" si="6"/>
        <v>872</v>
      </c>
      <c r="I20" s="49">
        <f t="shared" si="6"/>
        <v>326154</v>
      </c>
      <c r="J20" s="49">
        <f t="shared" si="6"/>
        <v>0</v>
      </c>
      <c r="K20" s="49">
        <f t="shared" si="6"/>
        <v>0</v>
      </c>
      <c r="L20" s="58">
        <f t="shared" si="6"/>
        <v>0</v>
      </c>
    </row>
    <row r="21" spans="1:12" ht="18.75" customHeight="1">
      <c r="A21" s="1096"/>
      <c r="B21" s="959"/>
      <c r="C21" s="959"/>
      <c r="D21" s="1087" t="s">
        <v>113</v>
      </c>
      <c r="E21" s="1088"/>
      <c r="F21" s="49">
        <f aca="true" t="shared" si="7" ref="F21:L21">ROUND(F10*1000/$L$2,0)</f>
        <v>26321</v>
      </c>
      <c r="G21" s="49">
        <f t="shared" si="7"/>
        <v>26321</v>
      </c>
      <c r="H21" s="49">
        <f t="shared" si="7"/>
        <v>1580</v>
      </c>
      <c r="I21" s="49">
        <f t="shared" si="7"/>
        <v>24740</v>
      </c>
      <c r="J21" s="49">
        <f t="shared" si="7"/>
        <v>0</v>
      </c>
      <c r="K21" s="49">
        <f t="shared" si="7"/>
        <v>0</v>
      </c>
      <c r="L21" s="58">
        <f t="shared" si="7"/>
        <v>0</v>
      </c>
    </row>
    <row r="22" spans="1:12" ht="18.75" customHeight="1">
      <c r="A22" s="1096"/>
      <c r="B22" s="959"/>
      <c r="C22" s="959"/>
      <c r="D22" s="1087" t="s">
        <v>114</v>
      </c>
      <c r="E22" s="1088"/>
      <c r="F22" s="49">
        <f aca="true" t="shared" si="8" ref="F22:L22">ROUND(F11*1000/$L$2,0)</f>
        <v>66417</v>
      </c>
      <c r="G22" s="49">
        <f t="shared" si="8"/>
        <v>66417</v>
      </c>
      <c r="H22" s="49">
        <f t="shared" si="8"/>
        <v>3299</v>
      </c>
      <c r="I22" s="49">
        <f t="shared" si="8"/>
        <v>63118</v>
      </c>
      <c r="J22" s="49">
        <f t="shared" si="8"/>
        <v>0</v>
      </c>
      <c r="K22" s="49">
        <f t="shared" si="8"/>
        <v>0</v>
      </c>
      <c r="L22" s="58">
        <f t="shared" si="8"/>
        <v>0</v>
      </c>
    </row>
    <row r="23" spans="1:12" ht="18.75" customHeight="1">
      <c r="A23" s="1096"/>
      <c r="B23" s="959"/>
      <c r="C23" s="959"/>
      <c r="D23" s="1087" t="s">
        <v>115</v>
      </c>
      <c r="E23" s="1088"/>
      <c r="F23" s="49">
        <f aca="true" t="shared" si="9" ref="F23:L23">ROUND(F12*1000/$L$2,0)</f>
        <v>126514</v>
      </c>
      <c r="G23" s="49">
        <f t="shared" si="9"/>
        <v>126514</v>
      </c>
      <c r="H23" s="49">
        <f t="shared" si="9"/>
        <v>9670</v>
      </c>
      <c r="I23" s="49">
        <f t="shared" si="9"/>
        <v>116845</v>
      </c>
      <c r="J23" s="49">
        <f t="shared" si="9"/>
        <v>0</v>
      </c>
      <c r="K23" s="49">
        <f t="shared" si="9"/>
        <v>0</v>
      </c>
      <c r="L23" s="58">
        <f t="shared" si="9"/>
        <v>0</v>
      </c>
    </row>
    <row r="24" spans="1:12" ht="18.75" customHeight="1">
      <c r="A24" s="1096"/>
      <c r="B24" s="959"/>
      <c r="C24" s="964"/>
      <c r="D24" s="1087" t="s">
        <v>116</v>
      </c>
      <c r="E24" s="1088"/>
      <c r="F24" s="49">
        <f aca="true" t="shared" si="10" ref="F24:L24">ROUND(F13*1000/$L$2,0)</f>
        <v>3267</v>
      </c>
      <c r="G24" s="49">
        <f t="shared" si="10"/>
        <v>3267</v>
      </c>
      <c r="H24" s="49">
        <f t="shared" si="10"/>
        <v>0</v>
      </c>
      <c r="I24" s="49">
        <f t="shared" si="10"/>
        <v>3267</v>
      </c>
      <c r="J24" s="49">
        <f t="shared" si="10"/>
        <v>0</v>
      </c>
      <c r="K24" s="49">
        <f t="shared" si="10"/>
        <v>0</v>
      </c>
      <c r="L24" s="58">
        <f t="shared" si="10"/>
        <v>0</v>
      </c>
    </row>
    <row r="25" spans="1:12" ht="18.75" customHeight="1">
      <c r="A25" s="1096"/>
      <c r="B25" s="959"/>
      <c r="C25" s="1087" t="s">
        <v>117</v>
      </c>
      <c r="D25" s="1092"/>
      <c r="E25" s="1088"/>
      <c r="F25" s="49">
        <f aca="true" t="shared" si="11" ref="F25:L25">ROUND(F14*1000/$L$2,0)</f>
        <v>120334</v>
      </c>
      <c r="G25" s="49">
        <f t="shared" si="11"/>
        <v>116677</v>
      </c>
      <c r="H25" s="49">
        <f t="shared" si="11"/>
        <v>1577</v>
      </c>
      <c r="I25" s="49">
        <f t="shared" si="11"/>
        <v>115099</v>
      </c>
      <c r="J25" s="49">
        <f t="shared" si="11"/>
        <v>0</v>
      </c>
      <c r="K25" s="49">
        <f t="shared" si="11"/>
        <v>3658</v>
      </c>
      <c r="L25" s="58">
        <f t="shared" si="11"/>
        <v>0</v>
      </c>
    </row>
    <row r="26" spans="1:12" ht="18.75" customHeight="1" thickBot="1">
      <c r="A26" s="1097"/>
      <c r="B26" s="960"/>
      <c r="C26" s="1089" t="s">
        <v>118</v>
      </c>
      <c r="D26" s="1090"/>
      <c r="E26" s="1091"/>
      <c r="F26" s="41">
        <f aca="true" t="shared" si="12" ref="F26:L26">ROUND(F15*1000/$L$2,0)</f>
        <v>44849</v>
      </c>
      <c r="G26" s="41">
        <f t="shared" si="12"/>
        <v>44849</v>
      </c>
      <c r="H26" s="41">
        <f t="shared" si="12"/>
        <v>0</v>
      </c>
      <c r="I26" s="41">
        <f t="shared" si="12"/>
        <v>44849</v>
      </c>
      <c r="J26" s="41">
        <f t="shared" si="12"/>
        <v>0</v>
      </c>
      <c r="K26" s="41">
        <f t="shared" si="12"/>
        <v>0</v>
      </c>
      <c r="L26" s="42">
        <f t="shared" si="12"/>
        <v>0</v>
      </c>
    </row>
    <row r="27" ht="19.5" customHeight="1">
      <c r="A27" s="7" t="s">
        <v>120</v>
      </c>
    </row>
  </sheetData>
  <sheetProtection/>
  <mergeCells count="32">
    <mergeCell ref="K3:K4"/>
    <mergeCell ref="L3:L4"/>
    <mergeCell ref="A1:H1"/>
    <mergeCell ref="A3:E4"/>
    <mergeCell ref="F3:F4"/>
    <mergeCell ref="G3:J3"/>
    <mergeCell ref="A5:A15"/>
    <mergeCell ref="B5:E5"/>
    <mergeCell ref="B6:B15"/>
    <mergeCell ref="C6:E6"/>
    <mergeCell ref="C7:C13"/>
    <mergeCell ref="D7:E7"/>
    <mergeCell ref="D8:D9"/>
    <mergeCell ref="D10:E10"/>
    <mergeCell ref="D11:E11"/>
    <mergeCell ref="D12:E12"/>
    <mergeCell ref="D13:E13"/>
    <mergeCell ref="C14:E14"/>
    <mergeCell ref="C15:E15"/>
    <mergeCell ref="A16:A26"/>
    <mergeCell ref="B16:E16"/>
    <mergeCell ref="B17:B26"/>
    <mergeCell ref="C17:E17"/>
    <mergeCell ref="C18:C24"/>
    <mergeCell ref="D18:E18"/>
    <mergeCell ref="D19:D20"/>
    <mergeCell ref="D21:E21"/>
    <mergeCell ref="C26:E26"/>
    <mergeCell ref="D22:E22"/>
    <mergeCell ref="D23:E23"/>
    <mergeCell ref="D24:E24"/>
    <mergeCell ref="C25:E25"/>
  </mergeCells>
  <printOptions/>
  <pageMargins left="0.75" right="0.75" top="1" bottom="1" header="0.512" footer="0.512"/>
  <pageSetup horizontalDpi="300" verticalDpi="300" orientation="landscape" paperSize="9" scale="95" r:id="rId1"/>
</worksheet>
</file>

<file path=xl/worksheets/sheet13.xml><?xml version="1.0" encoding="utf-8"?>
<worksheet xmlns="http://schemas.openxmlformats.org/spreadsheetml/2006/main" xmlns:r="http://schemas.openxmlformats.org/officeDocument/2006/relationships">
  <sheetPr codeName="Sheet13"/>
  <dimension ref="A1:L27"/>
  <sheetViews>
    <sheetView zoomScalePageLayoutView="0" workbookViewId="0" topLeftCell="A1">
      <selection activeCell="A1" sqref="A1:H1"/>
    </sheetView>
  </sheetViews>
  <sheetFormatPr defaultColWidth="9.00390625" defaultRowHeight="13.5"/>
  <cols>
    <col min="1" max="1" width="4.125" style="7" customWidth="1"/>
    <col min="2" max="2" width="2.375" style="7" customWidth="1"/>
    <col min="3" max="3" width="2.50390625" style="7" customWidth="1"/>
    <col min="4" max="4" width="2.625" style="7" customWidth="1"/>
    <col min="5" max="5" width="14.875" style="7" customWidth="1"/>
    <col min="6" max="6" width="12.50390625" style="7" customWidth="1"/>
    <col min="7" max="10" width="11.75390625" style="7" customWidth="1"/>
    <col min="11" max="11" width="10.875" style="7" customWidth="1"/>
    <col min="12" max="12" width="9.875" style="7" customWidth="1"/>
    <col min="13" max="16384" width="9.00390625" style="7" customWidth="1"/>
  </cols>
  <sheetData>
    <row r="1" spans="1:8" ht="21" customHeight="1">
      <c r="A1" s="1110" t="s">
        <v>128</v>
      </c>
      <c r="B1" s="1110"/>
      <c r="C1" s="1110"/>
      <c r="D1" s="1110"/>
      <c r="E1" s="1110"/>
      <c r="F1" s="1110"/>
      <c r="G1" s="1110"/>
      <c r="H1" s="1110"/>
    </row>
    <row r="2" spans="11:12" ht="21" customHeight="1" thickBot="1">
      <c r="K2" s="52" t="s">
        <v>125</v>
      </c>
      <c r="L2" s="53">
        <f>'表５'!L31</f>
        <v>336</v>
      </c>
    </row>
    <row r="3" spans="1:12" ht="16.5" customHeight="1">
      <c r="A3" s="1111" t="s">
        <v>106</v>
      </c>
      <c r="B3" s="1112"/>
      <c r="C3" s="1112"/>
      <c r="D3" s="1112"/>
      <c r="E3" s="1113"/>
      <c r="F3" s="1053" t="s">
        <v>28</v>
      </c>
      <c r="G3" s="1048" t="s">
        <v>93</v>
      </c>
      <c r="H3" s="1049"/>
      <c r="I3" s="1049"/>
      <c r="J3" s="1049"/>
      <c r="K3" s="1053" t="s">
        <v>107</v>
      </c>
      <c r="L3" s="1108" t="s">
        <v>264</v>
      </c>
    </row>
    <row r="4" spans="1:12" ht="33" customHeight="1" thickBot="1">
      <c r="A4" s="1114"/>
      <c r="B4" s="1115"/>
      <c r="C4" s="1115"/>
      <c r="D4" s="1115"/>
      <c r="E4" s="1116"/>
      <c r="F4" s="1107"/>
      <c r="G4" s="54" t="s">
        <v>108</v>
      </c>
      <c r="H4" s="46" t="s">
        <v>268</v>
      </c>
      <c r="I4" s="183" t="s">
        <v>263</v>
      </c>
      <c r="J4" s="184" t="s">
        <v>269</v>
      </c>
      <c r="K4" s="1107"/>
      <c r="L4" s="1109"/>
    </row>
    <row r="5" spans="1:12" ht="18.75" customHeight="1">
      <c r="A5" s="1101" t="s">
        <v>27</v>
      </c>
      <c r="B5" s="1104" t="s">
        <v>109</v>
      </c>
      <c r="C5" s="1105"/>
      <c r="D5" s="1105"/>
      <c r="E5" s="1106"/>
      <c r="F5" s="237">
        <f>G5+K5+L5</f>
        <v>896539</v>
      </c>
      <c r="G5" s="237">
        <f>SUM(H5:J5)</f>
        <v>896539</v>
      </c>
      <c r="H5" s="237">
        <f>H6+H14+H15</f>
        <v>5392</v>
      </c>
      <c r="I5" s="237">
        <f>I6+I14+I15</f>
        <v>891147</v>
      </c>
      <c r="J5" s="237">
        <f>J6+J14+J15</f>
        <v>0</v>
      </c>
      <c r="K5" s="237">
        <f>K6+K14+K15</f>
        <v>0</v>
      </c>
      <c r="L5" s="238">
        <f>L6+L14+L15</f>
        <v>0</v>
      </c>
    </row>
    <row r="6" spans="1:12" ht="18.75" customHeight="1">
      <c r="A6" s="1102"/>
      <c r="B6" s="958"/>
      <c r="C6" s="1087" t="s">
        <v>110</v>
      </c>
      <c r="D6" s="1092"/>
      <c r="E6" s="1088"/>
      <c r="F6" s="16">
        <f aca="true" t="shared" si="0" ref="F6:F15">G6+K6+L6</f>
        <v>895678</v>
      </c>
      <c r="G6" s="16">
        <f aca="true" t="shared" si="1" ref="G6:G15">SUM(H6:J6)</f>
        <v>895678</v>
      </c>
      <c r="H6" s="16">
        <f>H7+SUM(H10:H13)</f>
        <v>5019</v>
      </c>
      <c r="I6" s="16">
        <f>I7+SUM(I10:I13)</f>
        <v>890659</v>
      </c>
      <c r="J6" s="16">
        <f>J7+SUM(J10:J13)</f>
        <v>0</v>
      </c>
      <c r="K6" s="16">
        <f>K7+SUM(K10:K13)</f>
        <v>0</v>
      </c>
      <c r="L6" s="18">
        <f>L7+SUM(L10:L13)</f>
        <v>0</v>
      </c>
    </row>
    <row r="7" spans="1:12" ht="18.75" customHeight="1">
      <c r="A7" s="1102"/>
      <c r="B7" s="959"/>
      <c r="C7" s="958"/>
      <c r="D7" s="1087" t="s">
        <v>111</v>
      </c>
      <c r="E7" s="1088"/>
      <c r="F7" s="16">
        <f t="shared" si="0"/>
        <v>863066</v>
      </c>
      <c r="G7" s="16">
        <f>SUM(H7:J7)</f>
        <v>863066</v>
      </c>
      <c r="H7" s="43">
        <v>0</v>
      </c>
      <c r="I7" s="43">
        <v>863066</v>
      </c>
      <c r="J7" s="43">
        <f>J8+J9</f>
        <v>0</v>
      </c>
      <c r="K7" s="43">
        <f>K8+K9</f>
        <v>0</v>
      </c>
      <c r="L7" s="123">
        <f>L8+L9</f>
        <v>0</v>
      </c>
    </row>
    <row r="8" spans="1:12" ht="18.75" customHeight="1">
      <c r="A8" s="1102"/>
      <c r="B8" s="959"/>
      <c r="C8" s="959"/>
      <c r="D8" s="958"/>
      <c r="E8" s="50" t="s">
        <v>280</v>
      </c>
      <c r="F8" s="16">
        <f t="shared" si="0"/>
        <v>863066</v>
      </c>
      <c r="G8" s="16">
        <f>SUM(H8:J8)</f>
        <v>863066</v>
      </c>
      <c r="H8" s="43">
        <v>0</v>
      </c>
      <c r="I8" s="43">
        <v>863066</v>
      </c>
      <c r="J8" s="43">
        <v>0</v>
      </c>
      <c r="K8" s="43">
        <v>0</v>
      </c>
      <c r="L8" s="123">
        <v>0</v>
      </c>
    </row>
    <row r="9" spans="1:12" ht="18.75" customHeight="1">
      <c r="A9" s="1102"/>
      <c r="B9" s="959"/>
      <c r="C9" s="959"/>
      <c r="D9" s="964"/>
      <c r="E9" s="11" t="s">
        <v>112</v>
      </c>
      <c r="F9" s="16">
        <f t="shared" si="0"/>
        <v>0</v>
      </c>
      <c r="G9" s="16">
        <f t="shared" si="1"/>
        <v>0</v>
      </c>
      <c r="H9" s="43">
        <f>H7-H8</f>
        <v>0</v>
      </c>
      <c r="I9" s="43">
        <f>I7-I8</f>
        <v>0</v>
      </c>
      <c r="J9" s="43">
        <v>0</v>
      </c>
      <c r="K9" s="43">
        <v>0</v>
      </c>
      <c r="L9" s="123">
        <v>0</v>
      </c>
    </row>
    <row r="10" spans="1:12" ht="18.75" customHeight="1">
      <c r="A10" s="1102"/>
      <c r="B10" s="959"/>
      <c r="C10" s="959"/>
      <c r="D10" s="1087" t="s">
        <v>113</v>
      </c>
      <c r="E10" s="1088"/>
      <c r="F10" s="16">
        <f>G10+K10+L10</f>
        <v>3480</v>
      </c>
      <c r="G10" s="16">
        <f t="shared" si="1"/>
        <v>3480</v>
      </c>
      <c r="H10" s="43">
        <v>0</v>
      </c>
      <c r="I10" s="43">
        <v>3480</v>
      </c>
      <c r="J10" s="43">
        <v>0</v>
      </c>
      <c r="K10" s="43">
        <v>0</v>
      </c>
      <c r="L10" s="123">
        <v>0</v>
      </c>
    </row>
    <row r="11" spans="1:12" ht="18.75" customHeight="1">
      <c r="A11" s="1102"/>
      <c r="B11" s="959"/>
      <c r="C11" s="959"/>
      <c r="D11" s="1087" t="s">
        <v>114</v>
      </c>
      <c r="E11" s="1088"/>
      <c r="F11" s="16">
        <f t="shared" si="0"/>
        <v>3748</v>
      </c>
      <c r="G11" s="16">
        <f t="shared" si="1"/>
        <v>3748</v>
      </c>
      <c r="H11" s="43">
        <v>302</v>
      </c>
      <c r="I11" s="43">
        <v>3446</v>
      </c>
      <c r="J11" s="43">
        <v>0</v>
      </c>
      <c r="K11" s="43">
        <v>0</v>
      </c>
      <c r="L11" s="123">
        <v>0</v>
      </c>
    </row>
    <row r="12" spans="1:12" ht="18.75" customHeight="1">
      <c r="A12" s="1102"/>
      <c r="B12" s="959"/>
      <c r="C12" s="959"/>
      <c r="D12" s="1087" t="s">
        <v>115</v>
      </c>
      <c r="E12" s="1088"/>
      <c r="F12" s="16">
        <f t="shared" si="0"/>
        <v>24410</v>
      </c>
      <c r="G12" s="16">
        <f t="shared" si="1"/>
        <v>24410</v>
      </c>
      <c r="H12" s="43">
        <v>4717</v>
      </c>
      <c r="I12" s="43">
        <v>19693</v>
      </c>
      <c r="J12" s="43">
        <v>0</v>
      </c>
      <c r="K12" s="43">
        <v>0</v>
      </c>
      <c r="L12" s="123">
        <v>0</v>
      </c>
    </row>
    <row r="13" spans="1:12" ht="18.75" customHeight="1">
      <c r="A13" s="1102"/>
      <c r="B13" s="959"/>
      <c r="C13" s="964"/>
      <c r="D13" s="1087" t="s">
        <v>116</v>
      </c>
      <c r="E13" s="1088"/>
      <c r="F13" s="16">
        <f t="shared" si="0"/>
        <v>974</v>
      </c>
      <c r="G13" s="16">
        <f t="shared" si="1"/>
        <v>974</v>
      </c>
      <c r="H13" s="43">
        <v>0</v>
      </c>
      <c r="I13" s="43">
        <v>974</v>
      </c>
      <c r="J13" s="43">
        <v>0</v>
      </c>
      <c r="K13" s="43">
        <v>0</v>
      </c>
      <c r="L13" s="123">
        <v>0</v>
      </c>
    </row>
    <row r="14" spans="1:12" ht="18.75" customHeight="1">
      <c r="A14" s="1102"/>
      <c r="B14" s="959"/>
      <c r="C14" s="1087" t="s">
        <v>294</v>
      </c>
      <c r="D14" s="1092"/>
      <c r="E14" s="1088"/>
      <c r="F14" s="16">
        <f t="shared" si="0"/>
        <v>861</v>
      </c>
      <c r="G14" s="16">
        <f t="shared" si="1"/>
        <v>861</v>
      </c>
      <c r="H14" s="43">
        <v>373</v>
      </c>
      <c r="I14" s="43">
        <v>488</v>
      </c>
      <c r="J14" s="43">
        <v>0</v>
      </c>
      <c r="K14" s="43">
        <v>0</v>
      </c>
      <c r="L14" s="123">
        <v>0</v>
      </c>
    </row>
    <row r="15" spans="1:12" ht="18.75" customHeight="1" thickBot="1">
      <c r="A15" s="1103"/>
      <c r="B15" s="968"/>
      <c r="C15" s="1093" t="s">
        <v>118</v>
      </c>
      <c r="D15" s="1094"/>
      <c r="E15" s="1095"/>
      <c r="F15" s="35">
        <f t="shared" si="0"/>
        <v>0</v>
      </c>
      <c r="G15" s="35">
        <f t="shared" si="1"/>
        <v>0</v>
      </c>
      <c r="H15" s="124">
        <v>0</v>
      </c>
      <c r="I15" s="124">
        <v>0</v>
      </c>
      <c r="J15" s="43">
        <v>0</v>
      </c>
      <c r="K15" s="124">
        <v>0</v>
      </c>
      <c r="L15" s="125">
        <v>0</v>
      </c>
    </row>
    <row r="16" spans="1:12" ht="18.75" customHeight="1" thickTop="1">
      <c r="A16" s="1096" t="s">
        <v>126</v>
      </c>
      <c r="B16" s="1098" t="s">
        <v>109</v>
      </c>
      <c r="C16" s="1099"/>
      <c r="D16" s="1099"/>
      <c r="E16" s="1100"/>
      <c r="F16" s="235">
        <f>ROUND(F5*1000/$L$2,0)</f>
        <v>2668271</v>
      </c>
      <c r="G16" s="235">
        <f aca="true" t="shared" si="2" ref="G16:L16">ROUND(G5*1000/$L$2,0)</f>
        <v>2668271</v>
      </c>
      <c r="H16" s="235">
        <f t="shared" si="2"/>
        <v>16048</v>
      </c>
      <c r="I16" s="235">
        <f t="shared" si="2"/>
        <v>2652223</v>
      </c>
      <c r="J16" s="235">
        <f t="shared" si="2"/>
        <v>0</v>
      </c>
      <c r="K16" s="235">
        <f t="shared" si="2"/>
        <v>0</v>
      </c>
      <c r="L16" s="236">
        <f t="shared" si="2"/>
        <v>0</v>
      </c>
    </row>
    <row r="17" spans="1:12" ht="18.75" customHeight="1">
      <c r="A17" s="1096"/>
      <c r="B17" s="958"/>
      <c r="C17" s="1087" t="s">
        <v>110</v>
      </c>
      <c r="D17" s="1092"/>
      <c r="E17" s="1088"/>
      <c r="F17" s="49">
        <f aca="true" t="shared" si="3" ref="F17:L17">ROUND(F6*1000/$L$2,0)</f>
        <v>2665708</v>
      </c>
      <c r="G17" s="49">
        <f t="shared" si="3"/>
        <v>2665708</v>
      </c>
      <c r="H17" s="49">
        <f t="shared" si="3"/>
        <v>14938</v>
      </c>
      <c r="I17" s="49">
        <f t="shared" si="3"/>
        <v>2650771</v>
      </c>
      <c r="J17" s="49">
        <f t="shared" si="3"/>
        <v>0</v>
      </c>
      <c r="K17" s="49">
        <f t="shared" si="3"/>
        <v>0</v>
      </c>
      <c r="L17" s="58">
        <f t="shared" si="3"/>
        <v>0</v>
      </c>
    </row>
    <row r="18" spans="1:12" ht="18.75" customHeight="1">
      <c r="A18" s="1096"/>
      <c r="B18" s="959"/>
      <c r="C18" s="958"/>
      <c r="D18" s="1087" t="s">
        <v>111</v>
      </c>
      <c r="E18" s="1088"/>
      <c r="F18" s="49">
        <f aca="true" t="shared" si="4" ref="F18:L18">ROUND(F7*1000/$L$2,0)</f>
        <v>2568649</v>
      </c>
      <c r="G18" s="49">
        <f t="shared" si="4"/>
        <v>2568649</v>
      </c>
      <c r="H18" s="49">
        <f t="shared" si="4"/>
        <v>0</v>
      </c>
      <c r="I18" s="49">
        <f t="shared" si="4"/>
        <v>2568649</v>
      </c>
      <c r="J18" s="49">
        <f t="shared" si="4"/>
        <v>0</v>
      </c>
      <c r="K18" s="49">
        <f t="shared" si="4"/>
        <v>0</v>
      </c>
      <c r="L18" s="58">
        <f t="shared" si="4"/>
        <v>0</v>
      </c>
    </row>
    <row r="19" spans="1:12" ht="18.75" customHeight="1">
      <c r="A19" s="1096"/>
      <c r="B19" s="959"/>
      <c r="C19" s="959"/>
      <c r="D19" s="958"/>
      <c r="E19" s="50" t="s">
        <v>281</v>
      </c>
      <c r="F19" s="49">
        <f aca="true" t="shared" si="5" ref="F19:L19">ROUND(F8*1000/$L$2,0)</f>
        <v>2568649</v>
      </c>
      <c r="G19" s="49">
        <f t="shared" si="5"/>
        <v>2568649</v>
      </c>
      <c r="H19" s="49">
        <f t="shared" si="5"/>
        <v>0</v>
      </c>
      <c r="I19" s="49">
        <f t="shared" si="5"/>
        <v>2568649</v>
      </c>
      <c r="J19" s="49">
        <f t="shared" si="5"/>
        <v>0</v>
      </c>
      <c r="K19" s="49">
        <f t="shared" si="5"/>
        <v>0</v>
      </c>
      <c r="L19" s="58">
        <f t="shared" si="5"/>
        <v>0</v>
      </c>
    </row>
    <row r="20" spans="1:12" ht="18.75" customHeight="1">
      <c r="A20" s="1096"/>
      <c r="B20" s="959"/>
      <c r="C20" s="959"/>
      <c r="D20" s="964"/>
      <c r="E20" s="11" t="s">
        <v>112</v>
      </c>
      <c r="F20" s="49">
        <f aca="true" t="shared" si="6" ref="F20:L20">ROUND(F9*1000/$L$2,0)</f>
        <v>0</v>
      </c>
      <c r="G20" s="49">
        <f t="shared" si="6"/>
        <v>0</v>
      </c>
      <c r="H20" s="49">
        <f t="shared" si="6"/>
        <v>0</v>
      </c>
      <c r="I20" s="49">
        <f t="shared" si="6"/>
        <v>0</v>
      </c>
      <c r="J20" s="49">
        <f t="shared" si="6"/>
        <v>0</v>
      </c>
      <c r="K20" s="49">
        <f t="shared" si="6"/>
        <v>0</v>
      </c>
      <c r="L20" s="58">
        <f t="shared" si="6"/>
        <v>0</v>
      </c>
    </row>
    <row r="21" spans="1:12" ht="18.75" customHeight="1">
      <c r="A21" s="1096"/>
      <c r="B21" s="959"/>
      <c r="C21" s="959"/>
      <c r="D21" s="1087" t="s">
        <v>113</v>
      </c>
      <c r="E21" s="1088"/>
      <c r="F21" s="49">
        <f aca="true" t="shared" si="7" ref="F21:L21">ROUND(F10*1000/$L$2,0)</f>
        <v>10357</v>
      </c>
      <c r="G21" s="49">
        <f t="shared" si="7"/>
        <v>10357</v>
      </c>
      <c r="H21" s="49">
        <f t="shared" si="7"/>
        <v>0</v>
      </c>
      <c r="I21" s="49">
        <f t="shared" si="7"/>
        <v>10357</v>
      </c>
      <c r="J21" s="49">
        <f t="shared" si="7"/>
        <v>0</v>
      </c>
      <c r="K21" s="49">
        <f t="shared" si="7"/>
        <v>0</v>
      </c>
      <c r="L21" s="58">
        <f t="shared" si="7"/>
        <v>0</v>
      </c>
    </row>
    <row r="22" spans="1:12" ht="18.75" customHeight="1">
      <c r="A22" s="1096"/>
      <c r="B22" s="959"/>
      <c r="C22" s="959"/>
      <c r="D22" s="1087" t="s">
        <v>114</v>
      </c>
      <c r="E22" s="1088"/>
      <c r="F22" s="49">
        <f aca="true" t="shared" si="8" ref="F22:L22">ROUND(F11*1000/$L$2,0)</f>
        <v>11155</v>
      </c>
      <c r="G22" s="49">
        <f t="shared" si="8"/>
        <v>11155</v>
      </c>
      <c r="H22" s="49">
        <f t="shared" si="8"/>
        <v>899</v>
      </c>
      <c r="I22" s="49">
        <f t="shared" si="8"/>
        <v>10256</v>
      </c>
      <c r="J22" s="49">
        <f t="shared" si="8"/>
        <v>0</v>
      </c>
      <c r="K22" s="49">
        <f t="shared" si="8"/>
        <v>0</v>
      </c>
      <c r="L22" s="58">
        <f t="shared" si="8"/>
        <v>0</v>
      </c>
    </row>
    <row r="23" spans="1:12" ht="18.75" customHeight="1">
      <c r="A23" s="1096"/>
      <c r="B23" s="959"/>
      <c r="C23" s="959"/>
      <c r="D23" s="1087" t="s">
        <v>115</v>
      </c>
      <c r="E23" s="1088"/>
      <c r="F23" s="49">
        <f aca="true" t="shared" si="9" ref="F23:L23">ROUND(F12*1000/$L$2,0)</f>
        <v>72649</v>
      </c>
      <c r="G23" s="49">
        <f t="shared" si="9"/>
        <v>72649</v>
      </c>
      <c r="H23" s="49">
        <f t="shared" si="9"/>
        <v>14039</v>
      </c>
      <c r="I23" s="49">
        <f t="shared" si="9"/>
        <v>58610</v>
      </c>
      <c r="J23" s="49">
        <f t="shared" si="9"/>
        <v>0</v>
      </c>
      <c r="K23" s="49">
        <f t="shared" si="9"/>
        <v>0</v>
      </c>
      <c r="L23" s="58">
        <f t="shared" si="9"/>
        <v>0</v>
      </c>
    </row>
    <row r="24" spans="1:12" ht="18.75" customHeight="1">
      <c r="A24" s="1096"/>
      <c r="B24" s="959"/>
      <c r="C24" s="964"/>
      <c r="D24" s="1087" t="s">
        <v>116</v>
      </c>
      <c r="E24" s="1088"/>
      <c r="F24" s="49">
        <f aca="true" t="shared" si="10" ref="F24:L24">ROUND(F13*1000/$L$2,0)</f>
        <v>2899</v>
      </c>
      <c r="G24" s="49">
        <f t="shared" si="10"/>
        <v>2899</v>
      </c>
      <c r="H24" s="49">
        <f t="shared" si="10"/>
        <v>0</v>
      </c>
      <c r="I24" s="49">
        <f t="shared" si="10"/>
        <v>2899</v>
      </c>
      <c r="J24" s="49">
        <f t="shared" si="10"/>
        <v>0</v>
      </c>
      <c r="K24" s="49">
        <f t="shared" si="10"/>
        <v>0</v>
      </c>
      <c r="L24" s="58">
        <f t="shared" si="10"/>
        <v>0</v>
      </c>
    </row>
    <row r="25" spans="1:12" ht="18.75" customHeight="1">
      <c r="A25" s="1096"/>
      <c r="B25" s="959"/>
      <c r="C25" s="1087" t="s">
        <v>117</v>
      </c>
      <c r="D25" s="1092"/>
      <c r="E25" s="1088"/>
      <c r="F25" s="49">
        <f aca="true" t="shared" si="11" ref="F25:L25">ROUND(F14*1000/$L$2,0)</f>
        <v>2563</v>
      </c>
      <c r="G25" s="49">
        <f t="shared" si="11"/>
        <v>2563</v>
      </c>
      <c r="H25" s="49">
        <f t="shared" si="11"/>
        <v>1110</v>
      </c>
      <c r="I25" s="49">
        <f t="shared" si="11"/>
        <v>1452</v>
      </c>
      <c r="J25" s="49">
        <f t="shared" si="11"/>
        <v>0</v>
      </c>
      <c r="K25" s="49">
        <f t="shared" si="11"/>
        <v>0</v>
      </c>
      <c r="L25" s="58">
        <f t="shared" si="11"/>
        <v>0</v>
      </c>
    </row>
    <row r="26" spans="1:12" ht="18.75" customHeight="1" thickBot="1">
      <c r="A26" s="1097"/>
      <c r="B26" s="960"/>
      <c r="C26" s="1089" t="s">
        <v>118</v>
      </c>
      <c r="D26" s="1090"/>
      <c r="E26" s="1091"/>
      <c r="F26" s="41">
        <f aca="true" t="shared" si="12" ref="F26:L26">ROUND(F15*1000/$L$2,0)</f>
        <v>0</v>
      </c>
      <c r="G26" s="41">
        <f t="shared" si="12"/>
        <v>0</v>
      </c>
      <c r="H26" s="41">
        <f t="shared" si="12"/>
        <v>0</v>
      </c>
      <c r="I26" s="41">
        <f t="shared" si="12"/>
        <v>0</v>
      </c>
      <c r="J26" s="41">
        <f t="shared" si="12"/>
        <v>0</v>
      </c>
      <c r="K26" s="41">
        <f t="shared" si="12"/>
        <v>0</v>
      </c>
      <c r="L26" s="42">
        <f t="shared" si="12"/>
        <v>0</v>
      </c>
    </row>
    <row r="27" ht="19.5" customHeight="1">
      <c r="A27" s="7" t="s">
        <v>120</v>
      </c>
    </row>
  </sheetData>
  <sheetProtection/>
  <mergeCells count="32">
    <mergeCell ref="K3:K4"/>
    <mergeCell ref="L3:L4"/>
    <mergeCell ref="A1:H1"/>
    <mergeCell ref="A3:E4"/>
    <mergeCell ref="F3:F4"/>
    <mergeCell ref="G3:J3"/>
    <mergeCell ref="A5:A15"/>
    <mergeCell ref="B5:E5"/>
    <mergeCell ref="B6:B15"/>
    <mergeCell ref="C6:E6"/>
    <mergeCell ref="C7:C13"/>
    <mergeCell ref="D7:E7"/>
    <mergeCell ref="D8:D9"/>
    <mergeCell ref="D10:E10"/>
    <mergeCell ref="D11:E11"/>
    <mergeCell ref="D12:E12"/>
    <mergeCell ref="D13:E13"/>
    <mergeCell ref="C14:E14"/>
    <mergeCell ref="C15:E15"/>
    <mergeCell ref="A16:A26"/>
    <mergeCell ref="B16:E16"/>
    <mergeCell ref="B17:B26"/>
    <mergeCell ref="C17:E17"/>
    <mergeCell ref="C18:C24"/>
    <mergeCell ref="D18:E18"/>
    <mergeCell ref="D19:D20"/>
    <mergeCell ref="D21:E21"/>
    <mergeCell ref="C26:E26"/>
    <mergeCell ref="D22:E22"/>
    <mergeCell ref="D23:E23"/>
    <mergeCell ref="D24:E24"/>
    <mergeCell ref="C25:E25"/>
  </mergeCells>
  <printOptions/>
  <pageMargins left="0.75" right="0.75" top="1" bottom="1" header="0.512" footer="0.512"/>
  <pageSetup horizontalDpi="300" verticalDpi="300" orientation="landscape" paperSize="9" scale="95" r:id="rId1"/>
</worksheet>
</file>

<file path=xl/worksheets/sheet14.xml><?xml version="1.0" encoding="utf-8"?>
<worksheet xmlns="http://schemas.openxmlformats.org/spreadsheetml/2006/main" xmlns:r="http://schemas.openxmlformats.org/officeDocument/2006/relationships">
  <sheetPr codeName="Sheet14"/>
  <dimension ref="A1:L27"/>
  <sheetViews>
    <sheetView zoomScalePageLayoutView="0" workbookViewId="0" topLeftCell="A1">
      <selection activeCell="A1" sqref="A1:H1"/>
    </sheetView>
  </sheetViews>
  <sheetFormatPr defaultColWidth="9.00390625" defaultRowHeight="13.5"/>
  <cols>
    <col min="1" max="1" width="4.125" style="7" customWidth="1"/>
    <col min="2" max="2" width="2.375" style="7" customWidth="1"/>
    <col min="3" max="3" width="2.50390625" style="7" customWidth="1"/>
    <col min="4" max="4" width="2.625" style="7" customWidth="1"/>
    <col min="5" max="5" width="14.875" style="7" customWidth="1"/>
    <col min="6" max="6" width="12.50390625" style="7" customWidth="1"/>
    <col min="7" max="10" width="11.75390625" style="7" customWidth="1"/>
    <col min="11" max="11" width="10.875" style="7" customWidth="1"/>
    <col min="12" max="12" width="9.875" style="7" customWidth="1"/>
    <col min="13" max="16384" width="9.00390625" style="7" customWidth="1"/>
  </cols>
  <sheetData>
    <row r="1" spans="1:8" ht="21" customHeight="1">
      <c r="A1" s="1110" t="s">
        <v>129</v>
      </c>
      <c r="B1" s="1110"/>
      <c r="C1" s="1110"/>
      <c r="D1" s="1110"/>
      <c r="E1" s="1110"/>
      <c r="F1" s="1110"/>
      <c r="G1" s="1110"/>
      <c r="H1" s="1110"/>
    </row>
    <row r="2" spans="11:12" ht="21" customHeight="1" thickBot="1">
      <c r="K2" s="52" t="s">
        <v>125</v>
      </c>
      <c r="L2" s="53">
        <f>'表５'!M31</f>
        <v>417</v>
      </c>
    </row>
    <row r="3" spans="1:12" ht="16.5" customHeight="1">
      <c r="A3" s="1111" t="s">
        <v>106</v>
      </c>
      <c r="B3" s="1112"/>
      <c r="C3" s="1112"/>
      <c r="D3" s="1112"/>
      <c r="E3" s="1113"/>
      <c r="F3" s="1053" t="s">
        <v>28</v>
      </c>
      <c r="G3" s="1048" t="s">
        <v>93</v>
      </c>
      <c r="H3" s="1049"/>
      <c r="I3" s="1049"/>
      <c r="J3" s="1049"/>
      <c r="K3" s="1053" t="s">
        <v>107</v>
      </c>
      <c r="L3" s="1108" t="s">
        <v>264</v>
      </c>
    </row>
    <row r="4" spans="1:12" ht="33" customHeight="1" thickBot="1">
      <c r="A4" s="1114"/>
      <c r="B4" s="1115"/>
      <c r="C4" s="1115"/>
      <c r="D4" s="1115"/>
      <c r="E4" s="1116"/>
      <c r="F4" s="1107"/>
      <c r="G4" s="54" t="s">
        <v>108</v>
      </c>
      <c r="H4" s="46" t="s">
        <v>268</v>
      </c>
      <c r="I4" s="183" t="s">
        <v>263</v>
      </c>
      <c r="J4" s="184" t="s">
        <v>269</v>
      </c>
      <c r="K4" s="1107"/>
      <c r="L4" s="1109"/>
    </row>
    <row r="5" spans="1:12" ht="18.75" customHeight="1">
      <c r="A5" s="1101" t="s">
        <v>27</v>
      </c>
      <c r="B5" s="1104" t="s">
        <v>109</v>
      </c>
      <c r="C5" s="1105"/>
      <c r="D5" s="1105"/>
      <c r="E5" s="1106"/>
      <c r="F5" s="237">
        <f>G5+K5+L5</f>
        <v>177018</v>
      </c>
      <c r="G5" s="237">
        <f>SUM(H5:J5)</f>
        <v>177018</v>
      </c>
      <c r="H5" s="237">
        <f>H6+H14+H15</f>
        <v>2908</v>
      </c>
      <c r="I5" s="237">
        <f>I6+I14+I15</f>
        <v>174110</v>
      </c>
      <c r="J5" s="237">
        <f>J6+J14+J15</f>
        <v>0</v>
      </c>
      <c r="K5" s="237">
        <f>K6+K14+K15</f>
        <v>0</v>
      </c>
      <c r="L5" s="238">
        <f>L6+L14+L15</f>
        <v>0</v>
      </c>
    </row>
    <row r="6" spans="1:12" ht="18.75" customHeight="1">
      <c r="A6" s="1102"/>
      <c r="B6" s="958"/>
      <c r="C6" s="1087" t="s">
        <v>110</v>
      </c>
      <c r="D6" s="1092"/>
      <c r="E6" s="1088"/>
      <c r="F6" s="16">
        <f aca="true" t="shared" si="0" ref="F6:F15">G6+K6+L6</f>
        <v>177018</v>
      </c>
      <c r="G6" s="16">
        <f aca="true" t="shared" si="1" ref="G6:G15">SUM(H6:J6)</f>
        <v>177018</v>
      </c>
      <c r="H6" s="16">
        <f>H7+SUM(H10:H13)</f>
        <v>2908</v>
      </c>
      <c r="I6" s="16">
        <f>I7+SUM(I10:I13)</f>
        <v>174110</v>
      </c>
      <c r="J6" s="16">
        <f>J7+SUM(J10:J13)</f>
        <v>0</v>
      </c>
      <c r="K6" s="16">
        <f>K7+SUM(K10:K13)</f>
        <v>0</v>
      </c>
      <c r="L6" s="18">
        <f>L7+SUM(L10:L13)</f>
        <v>0</v>
      </c>
    </row>
    <row r="7" spans="1:12" ht="18.75" customHeight="1">
      <c r="A7" s="1102"/>
      <c r="B7" s="959"/>
      <c r="C7" s="958"/>
      <c r="D7" s="1087" t="s">
        <v>111</v>
      </c>
      <c r="E7" s="1088"/>
      <c r="F7" s="16">
        <f t="shared" si="0"/>
        <v>164734</v>
      </c>
      <c r="G7" s="16">
        <f t="shared" si="1"/>
        <v>164734</v>
      </c>
      <c r="H7" s="43">
        <v>0</v>
      </c>
      <c r="I7" s="43">
        <v>164734</v>
      </c>
      <c r="J7" s="43">
        <f>J8+J9</f>
        <v>0</v>
      </c>
      <c r="K7" s="43">
        <f>K8+K9</f>
        <v>0</v>
      </c>
      <c r="L7" s="123">
        <f>L8+L9</f>
        <v>0</v>
      </c>
    </row>
    <row r="8" spans="1:12" ht="18.75" customHeight="1">
      <c r="A8" s="1102"/>
      <c r="B8" s="959"/>
      <c r="C8" s="959"/>
      <c r="D8" s="958"/>
      <c r="E8" s="50" t="s">
        <v>280</v>
      </c>
      <c r="F8" s="16">
        <f t="shared" si="0"/>
        <v>112156</v>
      </c>
      <c r="G8" s="16">
        <f t="shared" si="1"/>
        <v>112156</v>
      </c>
      <c r="H8" s="43">
        <v>0</v>
      </c>
      <c r="I8" s="43">
        <v>112156</v>
      </c>
      <c r="J8" s="43">
        <v>0</v>
      </c>
      <c r="K8" s="43">
        <v>0</v>
      </c>
      <c r="L8" s="123">
        <v>0</v>
      </c>
    </row>
    <row r="9" spans="1:12" ht="18.75" customHeight="1">
      <c r="A9" s="1102"/>
      <c r="B9" s="959"/>
      <c r="C9" s="959"/>
      <c r="D9" s="964"/>
      <c r="E9" s="11" t="s">
        <v>112</v>
      </c>
      <c r="F9" s="16">
        <f t="shared" si="0"/>
        <v>52578</v>
      </c>
      <c r="G9" s="16">
        <f t="shared" si="1"/>
        <v>52578</v>
      </c>
      <c r="H9" s="43">
        <f>H7-H8</f>
        <v>0</v>
      </c>
      <c r="I9" s="43">
        <f>I7-I8</f>
        <v>52578</v>
      </c>
      <c r="J9" s="43">
        <v>0</v>
      </c>
      <c r="K9" s="43">
        <v>0</v>
      </c>
      <c r="L9" s="123">
        <v>0</v>
      </c>
    </row>
    <row r="10" spans="1:12" ht="18.75" customHeight="1">
      <c r="A10" s="1102"/>
      <c r="B10" s="959"/>
      <c r="C10" s="959"/>
      <c r="D10" s="1087" t="s">
        <v>113</v>
      </c>
      <c r="E10" s="1088"/>
      <c r="F10" s="16">
        <f>G10+K10+L10</f>
        <v>3064</v>
      </c>
      <c r="G10" s="16">
        <f t="shared" si="1"/>
        <v>3064</v>
      </c>
      <c r="H10" s="43">
        <v>0</v>
      </c>
      <c r="I10" s="43">
        <v>3064</v>
      </c>
      <c r="J10" s="43">
        <v>0</v>
      </c>
      <c r="K10" s="43">
        <v>0</v>
      </c>
      <c r="L10" s="123">
        <v>0</v>
      </c>
    </row>
    <row r="11" spans="1:12" ht="18.75" customHeight="1">
      <c r="A11" s="1102"/>
      <c r="B11" s="959"/>
      <c r="C11" s="959"/>
      <c r="D11" s="1087" t="s">
        <v>114</v>
      </c>
      <c r="E11" s="1088"/>
      <c r="F11" s="16">
        <f t="shared" si="0"/>
        <v>412</v>
      </c>
      <c r="G11" s="16">
        <f t="shared" si="1"/>
        <v>412</v>
      </c>
      <c r="H11" s="43">
        <v>0</v>
      </c>
      <c r="I11" s="43">
        <v>412</v>
      </c>
      <c r="J11" s="43">
        <v>0</v>
      </c>
      <c r="K11" s="43">
        <v>0</v>
      </c>
      <c r="L11" s="123">
        <v>0</v>
      </c>
    </row>
    <row r="12" spans="1:12" ht="18.75" customHeight="1">
      <c r="A12" s="1102"/>
      <c r="B12" s="959"/>
      <c r="C12" s="959"/>
      <c r="D12" s="1087" t="s">
        <v>115</v>
      </c>
      <c r="E12" s="1088"/>
      <c r="F12" s="16">
        <f t="shared" si="0"/>
        <v>8659</v>
      </c>
      <c r="G12" s="16">
        <f t="shared" si="1"/>
        <v>8659</v>
      </c>
      <c r="H12" s="43">
        <v>2908</v>
      </c>
      <c r="I12" s="43">
        <v>5751</v>
      </c>
      <c r="J12" s="43">
        <v>0</v>
      </c>
      <c r="K12" s="43">
        <v>0</v>
      </c>
      <c r="L12" s="123">
        <v>0</v>
      </c>
    </row>
    <row r="13" spans="1:12" ht="18.75" customHeight="1">
      <c r="A13" s="1102"/>
      <c r="B13" s="959"/>
      <c r="C13" s="964"/>
      <c r="D13" s="1087" t="s">
        <v>116</v>
      </c>
      <c r="E13" s="1088"/>
      <c r="F13" s="16">
        <f t="shared" si="0"/>
        <v>149</v>
      </c>
      <c r="G13" s="16">
        <f t="shared" si="1"/>
        <v>149</v>
      </c>
      <c r="H13" s="43">
        <v>0</v>
      </c>
      <c r="I13" s="43">
        <v>149</v>
      </c>
      <c r="J13" s="43">
        <v>0</v>
      </c>
      <c r="K13" s="43">
        <v>0</v>
      </c>
      <c r="L13" s="123">
        <v>0</v>
      </c>
    </row>
    <row r="14" spans="1:12" ht="18.75" customHeight="1">
      <c r="A14" s="1102"/>
      <c r="B14" s="959"/>
      <c r="C14" s="1087" t="s">
        <v>117</v>
      </c>
      <c r="D14" s="1092"/>
      <c r="E14" s="1088"/>
      <c r="F14" s="16">
        <f t="shared" si="0"/>
        <v>0</v>
      </c>
      <c r="G14" s="16">
        <f t="shared" si="1"/>
        <v>0</v>
      </c>
      <c r="H14" s="43">
        <v>0</v>
      </c>
      <c r="I14" s="43">
        <v>0</v>
      </c>
      <c r="J14" s="43">
        <v>0</v>
      </c>
      <c r="K14" s="43">
        <v>0</v>
      </c>
      <c r="L14" s="123">
        <v>0</v>
      </c>
    </row>
    <row r="15" spans="1:12" ht="18.75" customHeight="1" thickBot="1">
      <c r="A15" s="1103"/>
      <c r="B15" s="968"/>
      <c r="C15" s="1093" t="s">
        <v>118</v>
      </c>
      <c r="D15" s="1094"/>
      <c r="E15" s="1095"/>
      <c r="F15" s="35">
        <f t="shared" si="0"/>
        <v>0</v>
      </c>
      <c r="G15" s="35">
        <f t="shared" si="1"/>
        <v>0</v>
      </c>
      <c r="H15" s="124">
        <v>0</v>
      </c>
      <c r="I15" s="124">
        <v>0</v>
      </c>
      <c r="J15" s="124">
        <v>0</v>
      </c>
      <c r="K15" s="124">
        <v>0</v>
      </c>
      <c r="L15" s="125">
        <v>0</v>
      </c>
    </row>
    <row r="16" spans="1:12" ht="18.75" customHeight="1" thickTop="1">
      <c r="A16" s="1096" t="s">
        <v>126</v>
      </c>
      <c r="B16" s="1098" t="s">
        <v>109</v>
      </c>
      <c r="C16" s="1099"/>
      <c r="D16" s="1099"/>
      <c r="E16" s="1100"/>
      <c r="F16" s="235">
        <f>ROUND(F5*1000/$L$2,0)</f>
        <v>424504</v>
      </c>
      <c r="G16" s="235">
        <f aca="true" t="shared" si="2" ref="G16:L16">ROUND(G5*1000/$L$2,0)</f>
        <v>424504</v>
      </c>
      <c r="H16" s="235">
        <f t="shared" si="2"/>
        <v>6974</v>
      </c>
      <c r="I16" s="235">
        <f t="shared" si="2"/>
        <v>417530</v>
      </c>
      <c r="J16" s="235">
        <f t="shared" si="2"/>
        <v>0</v>
      </c>
      <c r="K16" s="235">
        <f t="shared" si="2"/>
        <v>0</v>
      </c>
      <c r="L16" s="236">
        <f t="shared" si="2"/>
        <v>0</v>
      </c>
    </row>
    <row r="17" spans="1:12" ht="18.75" customHeight="1">
      <c r="A17" s="1096"/>
      <c r="B17" s="958"/>
      <c r="C17" s="1087" t="s">
        <v>110</v>
      </c>
      <c r="D17" s="1092"/>
      <c r="E17" s="1088"/>
      <c r="F17" s="49">
        <f aca="true" t="shared" si="3" ref="F17:L17">ROUND(F6*1000/$L$2,0)</f>
        <v>424504</v>
      </c>
      <c r="G17" s="49">
        <f t="shared" si="3"/>
        <v>424504</v>
      </c>
      <c r="H17" s="49">
        <f t="shared" si="3"/>
        <v>6974</v>
      </c>
      <c r="I17" s="49">
        <f t="shared" si="3"/>
        <v>417530</v>
      </c>
      <c r="J17" s="49">
        <f t="shared" si="3"/>
        <v>0</v>
      </c>
      <c r="K17" s="49">
        <f t="shared" si="3"/>
        <v>0</v>
      </c>
      <c r="L17" s="58">
        <f t="shared" si="3"/>
        <v>0</v>
      </c>
    </row>
    <row r="18" spans="1:12" ht="18.75" customHeight="1">
      <c r="A18" s="1096"/>
      <c r="B18" s="959"/>
      <c r="C18" s="958"/>
      <c r="D18" s="1087" t="s">
        <v>111</v>
      </c>
      <c r="E18" s="1088"/>
      <c r="F18" s="49">
        <f aca="true" t="shared" si="4" ref="F18:L18">ROUND(F7*1000/$L$2,0)</f>
        <v>395046</v>
      </c>
      <c r="G18" s="49">
        <f t="shared" si="4"/>
        <v>395046</v>
      </c>
      <c r="H18" s="49">
        <f t="shared" si="4"/>
        <v>0</v>
      </c>
      <c r="I18" s="49">
        <f t="shared" si="4"/>
        <v>395046</v>
      </c>
      <c r="J18" s="49">
        <f t="shared" si="4"/>
        <v>0</v>
      </c>
      <c r="K18" s="49">
        <f t="shared" si="4"/>
        <v>0</v>
      </c>
      <c r="L18" s="58">
        <f t="shared" si="4"/>
        <v>0</v>
      </c>
    </row>
    <row r="19" spans="1:12" ht="18.75" customHeight="1">
      <c r="A19" s="1096"/>
      <c r="B19" s="959"/>
      <c r="C19" s="959"/>
      <c r="D19" s="958"/>
      <c r="E19" s="50" t="s">
        <v>281</v>
      </c>
      <c r="F19" s="49">
        <f aca="true" t="shared" si="5" ref="F19:L19">ROUND(F8*1000/$L$2,0)</f>
        <v>268959</v>
      </c>
      <c r="G19" s="49">
        <f t="shared" si="5"/>
        <v>268959</v>
      </c>
      <c r="H19" s="49">
        <f t="shared" si="5"/>
        <v>0</v>
      </c>
      <c r="I19" s="49">
        <f t="shared" si="5"/>
        <v>268959</v>
      </c>
      <c r="J19" s="49">
        <f t="shared" si="5"/>
        <v>0</v>
      </c>
      <c r="K19" s="49">
        <f t="shared" si="5"/>
        <v>0</v>
      </c>
      <c r="L19" s="58">
        <f t="shared" si="5"/>
        <v>0</v>
      </c>
    </row>
    <row r="20" spans="1:12" ht="18.75" customHeight="1">
      <c r="A20" s="1096"/>
      <c r="B20" s="959"/>
      <c r="C20" s="959"/>
      <c r="D20" s="964"/>
      <c r="E20" s="11" t="s">
        <v>112</v>
      </c>
      <c r="F20" s="49">
        <f aca="true" t="shared" si="6" ref="F20:L20">ROUND(F9*1000/$L$2,0)</f>
        <v>126086</v>
      </c>
      <c r="G20" s="49">
        <f t="shared" si="6"/>
        <v>126086</v>
      </c>
      <c r="H20" s="49">
        <f t="shared" si="6"/>
        <v>0</v>
      </c>
      <c r="I20" s="49">
        <f t="shared" si="6"/>
        <v>126086</v>
      </c>
      <c r="J20" s="49">
        <f t="shared" si="6"/>
        <v>0</v>
      </c>
      <c r="K20" s="49">
        <f t="shared" si="6"/>
        <v>0</v>
      </c>
      <c r="L20" s="58">
        <f t="shared" si="6"/>
        <v>0</v>
      </c>
    </row>
    <row r="21" spans="1:12" ht="18.75" customHeight="1">
      <c r="A21" s="1096"/>
      <c r="B21" s="959"/>
      <c r="C21" s="959"/>
      <c r="D21" s="1087" t="s">
        <v>113</v>
      </c>
      <c r="E21" s="1088"/>
      <c r="F21" s="49">
        <f aca="true" t="shared" si="7" ref="F21:L21">ROUND(F10*1000/$L$2,0)</f>
        <v>7348</v>
      </c>
      <c r="G21" s="49">
        <f t="shared" si="7"/>
        <v>7348</v>
      </c>
      <c r="H21" s="49">
        <f t="shared" si="7"/>
        <v>0</v>
      </c>
      <c r="I21" s="49">
        <f t="shared" si="7"/>
        <v>7348</v>
      </c>
      <c r="J21" s="49">
        <f t="shared" si="7"/>
        <v>0</v>
      </c>
      <c r="K21" s="49">
        <f t="shared" si="7"/>
        <v>0</v>
      </c>
      <c r="L21" s="58">
        <f t="shared" si="7"/>
        <v>0</v>
      </c>
    </row>
    <row r="22" spans="1:12" ht="18.75" customHeight="1">
      <c r="A22" s="1096"/>
      <c r="B22" s="959"/>
      <c r="C22" s="959"/>
      <c r="D22" s="1087" t="s">
        <v>114</v>
      </c>
      <c r="E22" s="1088"/>
      <c r="F22" s="49">
        <f aca="true" t="shared" si="8" ref="F22:L22">ROUND(F11*1000/$L$2,0)</f>
        <v>988</v>
      </c>
      <c r="G22" s="49">
        <f t="shared" si="8"/>
        <v>988</v>
      </c>
      <c r="H22" s="49">
        <f t="shared" si="8"/>
        <v>0</v>
      </c>
      <c r="I22" s="49">
        <f t="shared" si="8"/>
        <v>988</v>
      </c>
      <c r="J22" s="49">
        <f t="shared" si="8"/>
        <v>0</v>
      </c>
      <c r="K22" s="49">
        <f t="shared" si="8"/>
        <v>0</v>
      </c>
      <c r="L22" s="58">
        <f t="shared" si="8"/>
        <v>0</v>
      </c>
    </row>
    <row r="23" spans="1:12" ht="18.75" customHeight="1">
      <c r="A23" s="1096"/>
      <c r="B23" s="959"/>
      <c r="C23" s="959"/>
      <c r="D23" s="1087" t="s">
        <v>115</v>
      </c>
      <c r="E23" s="1088"/>
      <c r="F23" s="49">
        <f aca="true" t="shared" si="9" ref="F23:L23">ROUND(F12*1000/$L$2,0)</f>
        <v>20765</v>
      </c>
      <c r="G23" s="49">
        <f t="shared" si="9"/>
        <v>20765</v>
      </c>
      <c r="H23" s="49">
        <f t="shared" si="9"/>
        <v>6974</v>
      </c>
      <c r="I23" s="49">
        <f t="shared" si="9"/>
        <v>13791</v>
      </c>
      <c r="J23" s="49">
        <f t="shared" si="9"/>
        <v>0</v>
      </c>
      <c r="K23" s="49">
        <f t="shared" si="9"/>
        <v>0</v>
      </c>
      <c r="L23" s="58">
        <f t="shared" si="9"/>
        <v>0</v>
      </c>
    </row>
    <row r="24" spans="1:12" ht="18.75" customHeight="1">
      <c r="A24" s="1096"/>
      <c r="B24" s="959"/>
      <c r="C24" s="964"/>
      <c r="D24" s="1087" t="s">
        <v>116</v>
      </c>
      <c r="E24" s="1088"/>
      <c r="F24" s="49">
        <f aca="true" t="shared" si="10" ref="F24:L24">ROUND(F13*1000/$L$2,0)</f>
        <v>357</v>
      </c>
      <c r="G24" s="49">
        <f t="shared" si="10"/>
        <v>357</v>
      </c>
      <c r="H24" s="49">
        <f t="shared" si="10"/>
        <v>0</v>
      </c>
      <c r="I24" s="49">
        <f t="shared" si="10"/>
        <v>357</v>
      </c>
      <c r="J24" s="49">
        <f t="shared" si="10"/>
        <v>0</v>
      </c>
      <c r="K24" s="49">
        <f t="shared" si="10"/>
        <v>0</v>
      </c>
      <c r="L24" s="58">
        <f t="shared" si="10"/>
        <v>0</v>
      </c>
    </row>
    <row r="25" spans="1:12" ht="18.75" customHeight="1">
      <c r="A25" s="1096"/>
      <c r="B25" s="959"/>
      <c r="C25" s="1087" t="s">
        <v>117</v>
      </c>
      <c r="D25" s="1092"/>
      <c r="E25" s="1088"/>
      <c r="F25" s="49">
        <f aca="true" t="shared" si="11" ref="F25:L25">ROUND(F14*1000/$L$2,0)</f>
        <v>0</v>
      </c>
      <c r="G25" s="49">
        <f t="shared" si="11"/>
        <v>0</v>
      </c>
      <c r="H25" s="49">
        <f t="shared" si="11"/>
        <v>0</v>
      </c>
      <c r="I25" s="49">
        <f t="shared" si="11"/>
        <v>0</v>
      </c>
      <c r="J25" s="49">
        <f t="shared" si="11"/>
        <v>0</v>
      </c>
      <c r="K25" s="49">
        <f t="shared" si="11"/>
        <v>0</v>
      </c>
      <c r="L25" s="58">
        <f t="shared" si="11"/>
        <v>0</v>
      </c>
    </row>
    <row r="26" spans="1:12" ht="18.75" customHeight="1" thickBot="1">
      <c r="A26" s="1097"/>
      <c r="B26" s="960"/>
      <c r="C26" s="1089" t="s">
        <v>118</v>
      </c>
      <c r="D26" s="1090"/>
      <c r="E26" s="1091"/>
      <c r="F26" s="41">
        <f aca="true" t="shared" si="12" ref="F26:L26">ROUND(F15*1000/$L$2,0)</f>
        <v>0</v>
      </c>
      <c r="G26" s="41">
        <f t="shared" si="12"/>
        <v>0</v>
      </c>
      <c r="H26" s="41">
        <f t="shared" si="12"/>
        <v>0</v>
      </c>
      <c r="I26" s="41">
        <f t="shared" si="12"/>
        <v>0</v>
      </c>
      <c r="J26" s="41">
        <f t="shared" si="12"/>
        <v>0</v>
      </c>
      <c r="K26" s="41">
        <f t="shared" si="12"/>
        <v>0</v>
      </c>
      <c r="L26" s="42">
        <f t="shared" si="12"/>
        <v>0</v>
      </c>
    </row>
    <row r="27" ht="19.5" customHeight="1">
      <c r="A27" s="7" t="s">
        <v>120</v>
      </c>
    </row>
  </sheetData>
  <sheetProtection/>
  <mergeCells count="32">
    <mergeCell ref="K3:K4"/>
    <mergeCell ref="L3:L4"/>
    <mergeCell ref="A1:H1"/>
    <mergeCell ref="A3:E4"/>
    <mergeCell ref="F3:F4"/>
    <mergeCell ref="G3:J3"/>
    <mergeCell ref="A5:A15"/>
    <mergeCell ref="B5:E5"/>
    <mergeCell ref="B6:B15"/>
    <mergeCell ref="C6:E6"/>
    <mergeCell ref="C7:C13"/>
    <mergeCell ref="D7:E7"/>
    <mergeCell ref="D8:D9"/>
    <mergeCell ref="D10:E10"/>
    <mergeCell ref="D11:E11"/>
    <mergeCell ref="D12:E12"/>
    <mergeCell ref="D13:E13"/>
    <mergeCell ref="C14:E14"/>
    <mergeCell ref="C15:E15"/>
    <mergeCell ref="A16:A26"/>
    <mergeCell ref="B16:E16"/>
    <mergeCell ref="B17:B26"/>
    <mergeCell ref="C17:E17"/>
    <mergeCell ref="C18:C24"/>
    <mergeCell ref="D18:E18"/>
    <mergeCell ref="D19:D20"/>
    <mergeCell ref="D21:E21"/>
    <mergeCell ref="C26:E26"/>
    <mergeCell ref="D22:E22"/>
    <mergeCell ref="D23:E23"/>
    <mergeCell ref="D24:E24"/>
    <mergeCell ref="C25:E25"/>
  </mergeCells>
  <printOptions/>
  <pageMargins left="0.75" right="0.75" top="1" bottom="1" header="0.512" footer="0.512"/>
  <pageSetup horizontalDpi="300" verticalDpi="300" orientation="landscape" paperSize="9" scale="95" r:id="rId1"/>
</worksheet>
</file>

<file path=xl/worksheets/sheet15.xml><?xml version="1.0" encoding="utf-8"?>
<worksheet xmlns="http://schemas.openxmlformats.org/spreadsheetml/2006/main" xmlns:r="http://schemas.openxmlformats.org/officeDocument/2006/relationships">
  <sheetPr codeName="Sheet15"/>
  <dimension ref="A1:L27"/>
  <sheetViews>
    <sheetView zoomScalePageLayoutView="0" workbookViewId="0" topLeftCell="A1">
      <selection activeCell="A1" sqref="A1:H1"/>
    </sheetView>
  </sheetViews>
  <sheetFormatPr defaultColWidth="9.00390625" defaultRowHeight="13.5"/>
  <cols>
    <col min="1" max="1" width="4.125" style="7" customWidth="1"/>
    <col min="2" max="2" width="2.375" style="7" customWidth="1"/>
    <col min="3" max="3" width="2.50390625" style="7" customWidth="1"/>
    <col min="4" max="4" width="2.625" style="7" customWidth="1"/>
    <col min="5" max="5" width="14.875" style="7" customWidth="1"/>
    <col min="6" max="6" width="12.50390625" style="7" customWidth="1"/>
    <col min="7" max="10" width="11.75390625" style="7" customWidth="1"/>
    <col min="11" max="11" width="10.875" style="7" customWidth="1"/>
    <col min="12" max="12" width="9.875" style="7" customWidth="1"/>
    <col min="13" max="16384" width="9.00390625" style="7" customWidth="1"/>
  </cols>
  <sheetData>
    <row r="1" spans="1:8" ht="21" customHeight="1">
      <c r="A1" s="1110" t="s">
        <v>237</v>
      </c>
      <c r="B1" s="1110"/>
      <c r="C1" s="1110"/>
      <c r="D1" s="1110"/>
      <c r="E1" s="1110"/>
      <c r="F1" s="1110"/>
      <c r="G1" s="1110"/>
      <c r="H1" s="1110"/>
    </row>
    <row r="2" spans="11:12" ht="21" customHeight="1" thickBot="1">
      <c r="K2" s="52" t="s">
        <v>125</v>
      </c>
      <c r="L2" s="53">
        <f>'表５'!N31</f>
        <v>2460</v>
      </c>
    </row>
    <row r="3" spans="1:12" ht="16.5" customHeight="1">
      <c r="A3" s="1111" t="s">
        <v>106</v>
      </c>
      <c r="B3" s="1112"/>
      <c r="C3" s="1112"/>
      <c r="D3" s="1112"/>
      <c r="E3" s="1113"/>
      <c r="F3" s="1053" t="s">
        <v>28</v>
      </c>
      <c r="G3" s="1048" t="s">
        <v>93</v>
      </c>
      <c r="H3" s="1049"/>
      <c r="I3" s="1049"/>
      <c r="J3" s="1049"/>
      <c r="K3" s="1053" t="s">
        <v>107</v>
      </c>
      <c r="L3" s="1108" t="s">
        <v>264</v>
      </c>
    </row>
    <row r="4" spans="1:12" ht="33" customHeight="1" thickBot="1">
      <c r="A4" s="1114"/>
      <c r="B4" s="1115"/>
      <c r="C4" s="1115"/>
      <c r="D4" s="1115"/>
      <c r="E4" s="1116"/>
      <c r="F4" s="1107"/>
      <c r="G4" s="54" t="s">
        <v>108</v>
      </c>
      <c r="H4" s="46" t="s">
        <v>268</v>
      </c>
      <c r="I4" s="183" t="s">
        <v>263</v>
      </c>
      <c r="J4" s="184" t="s">
        <v>269</v>
      </c>
      <c r="K4" s="1107"/>
      <c r="L4" s="1109"/>
    </row>
    <row r="5" spans="1:12" ht="18.75" customHeight="1">
      <c r="A5" s="1101" t="s">
        <v>27</v>
      </c>
      <c r="B5" s="1104" t="s">
        <v>109</v>
      </c>
      <c r="C5" s="1105"/>
      <c r="D5" s="1105"/>
      <c r="E5" s="1106"/>
      <c r="F5" s="239">
        <f>G5+K5+L5</f>
        <v>2236940</v>
      </c>
      <c r="G5" s="239">
        <f>SUM(H5:J5)</f>
        <v>2236940</v>
      </c>
      <c r="H5" s="239">
        <f>H6+H14+H15</f>
        <v>184275</v>
      </c>
      <c r="I5" s="239">
        <f>I6+I14+I15</f>
        <v>2052665</v>
      </c>
      <c r="J5" s="239">
        <f>J6+J14+J15</f>
        <v>0</v>
      </c>
      <c r="K5" s="239">
        <f>K6+K14+K15</f>
        <v>0</v>
      </c>
      <c r="L5" s="240">
        <f>L6+L14+L15</f>
        <v>0</v>
      </c>
    </row>
    <row r="6" spans="1:12" ht="18.75" customHeight="1">
      <c r="A6" s="1102"/>
      <c r="B6" s="958"/>
      <c r="C6" s="1087" t="s">
        <v>110</v>
      </c>
      <c r="D6" s="1092"/>
      <c r="E6" s="1088"/>
      <c r="F6" s="43">
        <f aca="true" t="shared" si="0" ref="F6:F15">G6+K6+L6</f>
        <v>2189438</v>
      </c>
      <c r="G6" s="43">
        <f aca="true" t="shared" si="1" ref="G6:G15">SUM(H6:J6)</f>
        <v>2189438</v>
      </c>
      <c r="H6" s="43">
        <f>H7+SUM(H10:H13)</f>
        <v>180983</v>
      </c>
      <c r="I6" s="43">
        <f>I7+SUM(I10:I13)</f>
        <v>2008455</v>
      </c>
      <c r="J6" s="43">
        <f>J7+SUM(J10:J13)</f>
        <v>0</v>
      </c>
      <c r="K6" s="43">
        <f>K7+SUM(K10:K13)</f>
        <v>0</v>
      </c>
      <c r="L6" s="123">
        <f>L7+SUM(L10:L13)</f>
        <v>0</v>
      </c>
    </row>
    <row r="7" spans="1:12" ht="18.75" customHeight="1">
      <c r="A7" s="1102"/>
      <c r="B7" s="959"/>
      <c r="C7" s="958"/>
      <c r="D7" s="1087" t="s">
        <v>111</v>
      </c>
      <c r="E7" s="1088"/>
      <c r="F7" s="43">
        <f t="shared" si="0"/>
        <v>1919699</v>
      </c>
      <c r="G7" s="43">
        <f t="shared" si="1"/>
        <v>1919699</v>
      </c>
      <c r="H7" s="43">
        <v>163057</v>
      </c>
      <c r="I7" s="43">
        <v>1756642</v>
      </c>
      <c r="J7" s="43">
        <f>J8+J9</f>
        <v>0</v>
      </c>
      <c r="K7" s="43">
        <f>K8+K9</f>
        <v>0</v>
      </c>
      <c r="L7" s="123">
        <f>L8+L9</f>
        <v>0</v>
      </c>
    </row>
    <row r="8" spans="1:12" ht="18.75" customHeight="1">
      <c r="A8" s="1102"/>
      <c r="B8" s="959"/>
      <c r="C8" s="959"/>
      <c r="D8" s="958"/>
      <c r="E8" s="50" t="s">
        <v>280</v>
      </c>
      <c r="F8" s="43">
        <f t="shared" si="0"/>
        <v>1272079</v>
      </c>
      <c r="G8" s="43">
        <f t="shared" si="1"/>
        <v>1272079</v>
      </c>
      <c r="H8" s="43">
        <v>146891</v>
      </c>
      <c r="I8" s="43">
        <v>1125188</v>
      </c>
      <c r="J8" s="43">
        <v>0</v>
      </c>
      <c r="K8" s="43">
        <v>0</v>
      </c>
      <c r="L8" s="123">
        <v>0</v>
      </c>
    </row>
    <row r="9" spans="1:12" ht="18.75" customHeight="1">
      <c r="A9" s="1102"/>
      <c r="B9" s="959"/>
      <c r="C9" s="959"/>
      <c r="D9" s="964"/>
      <c r="E9" s="11" t="s">
        <v>112</v>
      </c>
      <c r="F9" s="43">
        <f t="shared" si="0"/>
        <v>647620</v>
      </c>
      <c r="G9" s="43">
        <f t="shared" si="1"/>
        <v>647620</v>
      </c>
      <c r="H9" s="43">
        <f>H7-H8</f>
        <v>16166</v>
      </c>
      <c r="I9" s="43">
        <f>I7-I8</f>
        <v>631454</v>
      </c>
      <c r="J9" s="43">
        <v>0</v>
      </c>
      <c r="K9" s="43">
        <v>0</v>
      </c>
      <c r="L9" s="123">
        <v>0</v>
      </c>
    </row>
    <row r="10" spans="1:12" ht="18.75" customHeight="1">
      <c r="A10" s="1102"/>
      <c r="B10" s="959"/>
      <c r="C10" s="959"/>
      <c r="D10" s="1087" t="s">
        <v>113</v>
      </c>
      <c r="E10" s="1088"/>
      <c r="F10" s="43">
        <f>G10+K10+L10</f>
        <v>34440</v>
      </c>
      <c r="G10" s="43">
        <f t="shared" si="1"/>
        <v>34440</v>
      </c>
      <c r="H10" s="43">
        <v>2679</v>
      </c>
      <c r="I10" s="43">
        <v>31761</v>
      </c>
      <c r="J10" s="43">
        <v>0</v>
      </c>
      <c r="K10" s="43">
        <v>0</v>
      </c>
      <c r="L10" s="123">
        <v>0</v>
      </c>
    </row>
    <row r="11" spans="1:12" ht="18.75" customHeight="1">
      <c r="A11" s="1102"/>
      <c r="B11" s="959"/>
      <c r="C11" s="959"/>
      <c r="D11" s="1087" t="s">
        <v>114</v>
      </c>
      <c r="E11" s="1088"/>
      <c r="F11" s="43">
        <f t="shared" si="0"/>
        <v>66846</v>
      </c>
      <c r="G11" s="43">
        <f t="shared" si="1"/>
        <v>66846</v>
      </c>
      <c r="H11" s="43">
        <v>1532</v>
      </c>
      <c r="I11" s="43">
        <v>65314</v>
      </c>
      <c r="J11" s="43">
        <v>0</v>
      </c>
      <c r="K11" s="43">
        <v>0</v>
      </c>
      <c r="L11" s="123">
        <v>0</v>
      </c>
    </row>
    <row r="12" spans="1:12" ht="18.75" customHeight="1">
      <c r="A12" s="1102"/>
      <c r="B12" s="959"/>
      <c r="C12" s="959"/>
      <c r="D12" s="1087" t="s">
        <v>115</v>
      </c>
      <c r="E12" s="1088"/>
      <c r="F12" s="43">
        <f t="shared" si="0"/>
        <v>163845</v>
      </c>
      <c r="G12" s="43">
        <f t="shared" si="1"/>
        <v>163845</v>
      </c>
      <c r="H12" s="43">
        <v>13715</v>
      </c>
      <c r="I12" s="43">
        <v>150130</v>
      </c>
      <c r="J12" s="43">
        <v>0</v>
      </c>
      <c r="K12" s="43">
        <v>0</v>
      </c>
      <c r="L12" s="123">
        <v>0</v>
      </c>
    </row>
    <row r="13" spans="1:12" ht="18.75" customHeight="1">
      <c r="A13" s="1102"/>
      <c r="B13" s="959"/>
      <c r="C13" s="964"/>
      <c r="D13" s="1087" t="s">
        <v>116</v>
      </c>
      <c r="E13" s="1088"/>
      <c r="F13" s="43">
        <f t="shared" si="0"/>
        <v>4608</v>
      </c>
      <c r="G13" s="43">
        <f t="shared" si="1"/>
        <v>4608</v>
      </c>
      <c r="H13" s="43">
        <v>0</v>
      </c>
      <c r="I13" s="43">
        <v>4608</v>
      </c>
      <c r="J13" s="43">
        <v>0</v>
      </c>
      <c r="K13" s="43">
        <v>0</v>
      </c>
      <c r="L13" s="123">
        <v>0</v>
      </c>
    </row>
    <row r="14" spans="1:12" ht="18.75" customHeight="1">
      <c r="A14" s="1102"/>
      <c r="B14" s="959"/>
      <c r="C14" s="1087" t="s">
        <v>117</v>
      </c>
      <c r="D14" s="1092"/>
      <c r="E14" s="1088"/>
      <c r="F14" s="43">
        <f t="shared" si="0"/>
        <v>11660</v>
      </c>
      <c r="G14" s="43">
        <f t="shared" si="1"/>
        <v>11660</v>
      </c>
      <c r="H14" s="43">
        <v>3292</v>
      </c>
      <c r="I14" s="43">
        <v>8368</v>
      </c>
      <c r="J14" s="43">
        <v>0</v>
      </c>
      <c r="K14" s="43">
        <v>0</v>
      </c>
      <c r="L14" s="123">
        <v>0</v>
      </c>
    </row>
    <row r="15" spans="1:12" ht="18.75" customHeight="1" thickBot="1">
      <c r="A15" s="1103"/>
      <c r="B15" s="968"/>
      <c r="C15" s="1093" t="s">
        <v>118</v>
      </c>
      <c r="D15" s="1094"/>
      <c r="E15" s="1095"/>
      <c r="F15" s="124">
        <f t="shared" si="0"/>
        <v>35842</v>
      </c>
      <c r="G15" s="124">
        <f t="shared" si="1"/>
        <v>35842</v>
      </c>
      <c r="H15" s="124">
        <v>0</v>
      </c>
      <c r="I15" s="124">
        <v>35842</v>
      </c>
      <c r="J15" s="124">
        <v>0</v>
      </c>
      <c r="K15" s="124">
        <v>0</v>
      </c>
      <c r="L15" s="125">
        <v>0</v>
      </c>
    </row>
    <row r="16" spans="1:12" ht="18.75" customHeight="1" thickTop="1">
      <c r="A16" s="1096" t="s">
        <v>126</v>
      </c>
      <c r="B16" s="1098" t="s">
        <v>109</v>
      </c>
      <c r="C16" s="1099"/>
      <c r="D16" s="1099"/>
      <c r="E16" s="1100"/>
      <c r="F16" s="241">
        <f>ROUND(F5*1000/$L$2,0)</f>
        <v>909325</v>
      </c>
      <c r="G16" s="241">
        <f aca="true" t="shared" si="2" ref="G16:L16">ROUND(G5*1000/$L$2,0)</f>
        <v>909325</v>
      </c>
      <c r="H16" s="241">
        <f t="shared" si="2"/>
        <v>74909</v>
      </c>
      <c r="I16" s="241">
        <f t="shared" si="2"/>
        <v>834417</v>
      </c>
      <c r="J16" s="241">
        <f t="shared" si="2"/>
        <v>0</v>
      </c>
      <c r="K16" s="241">
        <f t="shared" si="2"/>
        <v>0</v>
      </c>
      <c r="L16" s="242">
        <f t="shared" si="2"/>
        <v>0</v>
      </c>
    </row>
    <row r="17" spans="1:12" ht="18.75" customHeight="1">
      <c r="A17" s="1096"/>
      <c r="B17" s="958"/>
      <c r="C17" s="1087" t="s">
        <v>110</v>
      </c>
      <c r="D17" s="1092"/>
      <c r="E17" s="1088"/>
      <c r="F17" s="43">
        <f aca="true" t="shared" si="3" ref="F17:L17">ROUND(F6*1000/$L$2,0)</f>
        <v>890015</v>
      </c>
      <c r="G17" s="43">
        <f t="shared" si="3"/>
        <v>890015</v>
      </c>
      <c r="H17" s="43">
        <f t="shared" si="3"/>
        <v>73570</v>
      </c>
      <c r="I17" s="43">
        <f t="shared" si="3"/>
        <v>816445</v>
      </c>
      <c r="J17" s="43">
        <f t="shared" si="3"/>
        <v>0</v>
      </c>
      <c r="K17" s="43">
        <f t="shared" si="3"/>
        <v>0</v>
      </c>
      <c r="L17" s="123">
        <f t="shared" si="3"/>
        <v>0</v>
      </c>
    </row>
    <row r="18" spans="1:12" ht="18.75" customHeight="1">
      <c r="A18" s="1096"/>
      <c r="B18" s="959"/>
      <c r="C18" s="958"/>
      <c r="D18" s="1087" t="s">
        <v>111</v>
      </c>
      <c r="E18" s="1088"/>
      <c r="F18" s="43">
        <f aca="true" t="shared" si="4" ref="F18:L18">ROUND(F7*1000/$L$2,0)</f>
        <v>780365</v>
      </c>
      <c r="G18" s="43">
        <f t="shared" si="4"/>
        <v>780365</v>
      </c>
      <c r="H18" s="43">
        <f t="shared" si="4"/>
        <v>66283</v>
      </c>
      <c r="I18" s="43">
        <f t="shared" si="4"/>
        <v>714082</v>
      </c>
      <c r="J18" s="43">
        <f t="shared" si="4"/>
        <v>0</v>
      </c>
      <c r="K18" s="43">
        <f t="shared" si="4"/>
        <v>0</v>
      </c>
      <c r="L18" s="123">
        <f t="shared" si="4"/>
        <v>0</v>
      </c>
    </row>
    <row r="19" spans="1:12" ht="18.75" customHeight="1">
      <c r="A19" s="1096"/>
      <c r="B19" s="959"/>
      <c r="C19" s="959"/>
      <c r="D19" s="958"/>
      <c r="E19" s="50" t="s">
        <v>281</v>
      </c>
      <c r="F19" s="43">
        <f aca="true" t="shared" si="5" ref="F19:L19">ROUND(F8*1000/$L$2,0)</f>
        <v>517105</v>
      </c>
      <c r="G19" s="43">
        <f t="shared" si="5"/>
        <v>517105</v>
      </c>
      <c r="H19" s="43">
        <f t="shared" si="5"/>
        <v>59712</v>
      </c>
      <c r="I19" s="43">
        <f t="shared" si="5"/>
        <v>457393</v>
      </c>
      <c r="J19" s="43">
        <f t="shared" si="5"/>
        <v>0</v>
      </c>
      <c r="K19" s="43">
        <f t="shared" si="5"/>
        <v>0</v>
      </c>
      <c r="L19" s="123">
        <f t="shared" si="5"/>
        <v>0</v>
      </c>
    </row>
    <row r="20" spans="1:12" ht="18.75" customHeight="1">
      <c r="A20" s="1096"/>
      <c r="B20" s="959"/>
      <c r="C20" s="959"/>
      <c r="D20" s="964"/>
      <c r="E20" s="11" t="s">
        <v>112</v>
      </c>
      <c r="F20" s="43">
        <f aca="true" t="shared" si="6" ref="F20:L20">ROUND(F9*1000/$L$2,0)</f>
        <v>263260</v>
      </c>
      <c r="G20" s="43">
        <f t="shared" si="6"/>
        <v>263260</v>
      </c>
      <c r="H20" s="43">
        <f t="shared" si="6"/>
        <v>6572</v>
      </c>
      <c r="I20" s="43">
        <f t="shared" si="6"/>
        <v>256689</v>
      </c>
      <c r="J20" s="43">
        <f t="shared" si="6"/>
        <v>0</v>
      </c>
      <c r="K20" s="43">
        <f t="shared" si="6"/>
        <v>0</v>
      </c>
      <c r="L20" s="123">
        <f t="shared" si="6"/>
        <v>0</v>
      </c>
    </row>
    <row r="21" spans="1:12" ht="18.75" customHeight="1">
      <c r="A21" s="1096"/>
      <c r="B21" s="959"/>
      <c r="C21" s="959"/>
      <c r="D21" s="1087" t="s">
        <v>113</v>
      </c>
      <c r="E21" s="1088"/>
      <c r="F21" s="43">
        <f aca="true" t="shared" si="7" ref="F21:L21">ROUND(F10*1000/$L$2,0)</f>
        <v>14000</v>
      </c>
      <c r="G21" s="43">
        <f t="shared" si="7"/>
        <v>14000</v>
      </c>
      <c r="H21" s="43">
        <f t="shared" si="7"/>
        <v>1089</v>
      </c>
      <c r="I21" s="43">
        <f t="shared" si="7"/>
        <v>12911</v>
      </c>
      <c r="J21" s="43">
        <f t="shared" si="7"/>
        <v>0</v>
      </c>
      <c r="K21" s="43">
        <f t="shared" si="7"/>
        <v>0</v>
      </c>
      <c r="L21" s="123">
        <f t="shared" si="7"/>
        <v>0</v>
      </c>
    </row>
    <row r="22" spans="1:12" ht="18.75" customHeight="1">
      <c r="A22" s="1096"/>
      <c r="B22" s="959"/>
      <c r="C22" s="959"/>
      <c r="D22" s="1087" t="s">
        <v>114</v>
      </c>
      <c r="E22" s="1088"/>
      <c r="F22" s="43">
        <f aca="true" t="shared" si="8" ref="F22:L22">ROUND(F11*1000/$L$2,0)</f>
        <v>27173</v>
      </c>
      <c r="G22" s="43">
        <f t="shared" si="8"/>
        <v>27173</v>
      </c>
      <c r="H22" s="43">
        <f t="shared" si="8"/>
        <v>623</v>
      </c>
      <c r="I22" s="43">
        <f t="shared" si="8"/>
        <v>26550</v>
      </c>
      <c r="J22" s="43">
        <f t="shared" si="8"/>
        <v>0</v>
      </c>
      <c r="K22" s="43">
        <f t="shared" si="8"/>
        <v>0</v>
      </c>
      <c r="L22" s="123">
        <f t="shared" si="8"/>
        <v>0</v>
      </c>
    </row>
    <row r="23" spans="1:12" ht="18.75" customHeight="1">
      <c r="A23" s="1096"/>
      <c r="B23" s="959"/>
      <c r="C23" s="959"/>
      <c r="D23" s="1087" t="s">
        <v>115</v>
      </c>
      <c r="E23" s="1088"/>
      <c r="F23" s="43">
        <f aca="true" t="shared" si="9" ref="F23:L23">ROUND(F12*1000/$L$2,0)</f>
        <v>66604</v>
      </c>
      <c r="G23" s="43">
        <f t="shared" si="9"/>
        <v>66604</v>
      </c>
      <c r="H23" s="43">
        <f t="shared" si="9"/>
        <v>5575</v>
      </c>
      <c r="I23" s="43">
        <f t="shared" si="9"/>
        <v>61028</v>
      </c>
      <c r="J23" s="43">
        <f t="shared" si="9"/>
        <v>0</v>
      </c>
      <c r="K23" s="43">
        <f t="shared" si="9"/>
        <v>0</v>
      </c>
      <c r="L23" s="123">
        <f t="shared" si="9"/>
        <v>0</v>
      </c>
    </row>
    <row r="24" spans="1:12" ht="18.75" customHeight="1">
      <c r="A24" s="1096"/>
      <c r="B24" s="959"/>
      <c r="C24" s="964"/>
      <c r="D24" s="1087" t="s">
        <v>116</v>
      </c>
      <c r="E24" s="1088"/>
      <c r="F24" s="43">
        <f aca="true" t="shared" si="10" ref="F24:L24">ROUND(F13*1000/$L$2,0)</f>
        <v>1873</v>
      </c>
      <c r="G24" s="43">
        <f t="shared" si="10"/>
        <v>1873</v>
      </c>
      <c r="H24" s="43">
        <f t="shared" si="10"/>
        <v>0</v>
      </c>
      <c r="I24" s="43">
        <f t="shared" si="10"/>
        <v>1873</v>
      </c>
      <c r="J24" s="43">
        <f t="shared" si="10"/>
        <v>0</v>
      </c>
      <c r="K24" s="43">
        <f t="shared" si="10"/>
        <v>0</v>
      </c>
      <c r="L24" s="123">
        <f t="shared" si="10"/>
        <v>0</v>
      </c>
    </row>
    <row r="25" spans="1:12" ht="18.75" customHeight="1">
      <c r="A25" s="1096"/>
      <c r="B25" s="959"/>
      <c r="C25" s="1087" t="s">
        <v>117</v>
      </c>
      <c r="D25" s="1092"/>
      <c r="E25" s="1088"/>
      <c r="F25" s="43">
        <f aca="true" t="shared" si="11" ref="F25:L25">ROUND(F14*1000/$L$2,0)</f>
        <v>4740</v>
      </c>
      <c r="G25" s="43">
        <f t="shared" si="11"/>
        <v>4740</v>
      </c>
      <c r="H25" s="43">
        <f t="shared" si="11"/>
        <v>1338</v>
      </c>
      <c r="I25" s="43">
        <f t="shared" si="11"/>
        <v>3402</v>
      </c>
      <c r="J25" s="43">
        <f t="shared" si="11"/>
        <v>0</v>
      </c>
      <c r="K25" s="43">
        <f t="shared" si="11"/>
        <v>0</v>
      </c>
      <c r="L25" s="123">
        <f t="shared" si="11"/>
        <v>0</v>
      </c>
    </row>
    <row r="26" spans="1:12" ht="18.75" customHeight="1" thickBot="1">
      <c r="A26" s="1097"/>
      <c r="B26" s="960"/>
      <c r="C26" s="1089" t="s">
        <v>118</v>
      </c>
      <c r="D26" s="1090"/>
      <c r="E26" s="1091"/>
      <c r="F26" s="243">
        <f aca="true" t="shared" si="12" ref="F26:L26">ROUND(F15*1000/$L$2,0)</f>
        <v>14570</v>
      </c>
      <c r="G26" s="243">
        <f t="shared" si="12"/>
        <v>14570</v>
      </c>
      <c r="H26" s="243">
        <f t="shared" si="12"/>
        <v>0</v>
      </c>
      <c r="I26" s="243">
        <f t="shared" si="12"/>
        <v>14570</v>
      </c>
      <c r="J26" s="243">
        <f t="shared" si="12"/>
        <v>0</v>
      </c>
      <c r="K26" s="243">
        <f t="shared" si="12"/>
        <v>0</v>
      </c>
      <c r="L26" s="244">
        <f t="shared" si="12"/>
        <v>0</v>
      </c>
    </row>
    <row r="27" ht="19.5" customHeight="1">
      <c r="A27" s="7" t="s">
        <v>120</v>
      </c>
    </row>
  </sheetData>
  <sheetProtection/>
  <mergeCells count="32">
    <mergeCell ref="K3:K4"/>
    <mergeCell ref="L3:L4"/>
    <mergeCell ref="A1:H1"/>
    <mergeCell ref="A3:E4"/>
    <mergeCell ref="F3:F4"/>
    <mergeCell ref="G3:J3"/>
    <mergeCell ref="A5:A15"/>
    <mergeCell ref="B5:E5"/>
    <mergeCell ref="B6:B15"/>
    <mergeCell ref="C6:E6"/>
    <mergeCell ref="C7:C13"/>
    <mergeCell ref="D7:E7"/>
    <mergeCell ref="D8:D9"/>
    <mergeCell ref="D10:E10"/>
    <mergeCell ref="D11:E11"/>
    <mergeCell ref="D12:E12"/>
    <mergeCell ref="D13:E13"/>
    <mergeCell ref="C14:E14"/>
    <mergeCell ref="C15:E15"/>
    <mergeCell ref="A16:A26"/>
    <mergeCell ref="B16:E16"/>
    <mergeCell ref="B17:B26"/>
    <mergeCell ref="C17:E17"/>
    <mergeCell ref="C18:C24"/>
    <mergeCell ref="D18:E18"/>
    <mergeCell ref="D19:D20"/>
    <mergeCell ref="D21:E21"/>
    <mergeCell ref="C26:E26"/>
    <mergeCell ref="D22:E22"/>
    <mergeCell ref="D23:E23"/>
    <mergeCell ref="D24:E24"/>
    <mergeCell ref="C25:E25"/>
  </mergeCells>
  <printOptions/>
  <pageMargins left="0.75" right="0.75" top="0.88" bottom="0.81" header="0.512" footer="0.512"/>
  <pageSetup horizontalDpi="300" verticalDpi="300" orientation="landscape" paperSize="9" scale="95" r:id="rId1"/>
</worksheet>
</file>

<file path=xl/worksheets/sheet16.xml><?xml version="1.0" encoding="utf-8"?>
<worksheet xmlns="http://schemas.openxmlformats.org/spreadsheetml/2006/main" xmlns:r="http://schemas.openxmlformats.org/officeDocument/2006/relationships">
  <sheetPr codeName="Sheet16"/>
  <dimension ref="A1:L27"/>
  <sheetViews>
    <sheetView zoomScalePageLayoutView="0" workbookViewId="0" topLeftCell="A1">
      <selection activeCell="A1" sqref="A1:H1"/>
    </sheetView>
  </sheetViews>
  <sheetFormatPr defaultColWidth="9.00390625" defaultRowHeight="13.5"/>
  <cols>
    <col min="1" max="1" width="4.125" style="7" customWidth="1"/>
    <col min="2" max="2" width="2.375" style="7" customWidth="1"/>
    <col min="3" max="3" width="2.50390625" style="7" customWidth="1"/>
    <col min="4" max="4" width="2.625" style="7" customWidth="1"/>
    <col min="5" max="5" width="14.875" style="7" customWidth="1"/>
    <col min="6" max="6" width="12.50390625" style="7" customWidth="1"/>
    <col min="7" max="10" width="11.75390625" style="7" customWidth="1"/>
    <col min="11" max="11" width="10.875" style="7" customWidth="1"/>
    <col min="12" max="12" width="9.875" style="7" customWidth="1"/>
    <col min="13" max="16384" width="9.00390625" style="7" customWidth="1"/>
  </cols>
  <sheetData>
    <row r="1" spans="1:8" ht="21" customHeight="1">
      <c r="A1" s="1110" t="s">
        <v>236</v>
      </c>
      <c r="B1" s="1110"/>
      <c r="C1" s="1110"/>
      <c r="D1" s="1110"/>
      <c r="E1" s="1110"/>
      <c r="F1" s="1110"/>
      <c r="G1" s="1110"/>
      <c r="H1" s="1110"/>
    </row>
    <row r="2" spans="11:12" ht="21" customHeight="1" thickBot="1">
      <c r="K2" s="52" t="s">
        <v>125</v>
      </c>
      <c r="L2" s="53">
        <f>'表５'!O31</f>
        <v>90</v>
      </c>
    </row>
    <row r="3" spans="1:12" ht="16.5" customHeight="1">
      <c r="A3" s="1111" t="s">
        <v>106</v>
      </c>
      <c r="B3" s="1112"/>
      <c r="C3" s="1112"/>
      <c r="D3" s="1112"/>
      <c r="E3" s="1113"/>
      <c r="F3" s="1053" t="s">
        <v>28</v>
      </c>
      <c r="G3" s="1048" t="s">
        <v>93</v>
      </c>
      <c r="H3" s="1049"/>
      <c r="I3" s="1049"/>
      <c r="J3" s="1049"/>
      <c r="K3" s="1053" t="s">
        <v>107</v>
      </c>
      <c r="L3" s="1108" t="s">
        <v>264</v>
      </c>
    </row>
    <row r="4" spans="1:12" ht="33" customHeight="1" thickBot="1">
      <c r="A4" s="1114"/>
      <c r="B4" s="1115"/>
      <c r="C4" s="1115"/>
      <c r="D4" s="1115"/>
      <c r="E4" s="1116"/>
      <c r="F4" s="1107"/>
      <c r="G4" s="54" t="s">
        <v>108</v>
      </c>
      <c r="H4" s="46" t="s">
        <v>268</v>
      </c>
      <c r="I4" s="183" t="s">
        <v>263</v>
      </c>
      <c r="J4" s="184" t="s">
        <v>269</v>
      </c>
      <c r="K4" s="1107"/>
      <c r="L4" s="1109"/>
    </row>
    <row r="5" spans="1:12" ht="18.75" customHeight="1">
      <c r="A5" s="1101" t="s">
        <v>27</v>
      </c>
      <c r="B5" s="1104" t="s">
        <v>109</v>
      </c>
      <c r="C5" s="1105"/>
      <c r="D5" s="1105"/>
      <c r="E5" s="1106"/>
      <c r="F5" s="239">
        <f>G5+K5+L5</f>
        <v>246601</v>
      </c>
      <c r="G5" s="239">
        <f>SUM(H5:J5)</f>
        <v>246601</v>
      </c>
      <c r="H5" s="239">
        <f>H6+H14+H15</f>
        <v>25294</v>
      </c>
      <c r="I5" s="239">
        <f>I6+I14+I15</f>
        <v>221307</v>
      </c>
      <c r="J5" s="239">
        <f>J6+J14+J15</f>
        <v>0</v>
      </c>
      <c r="K5" s="239">
        <f>K6+K14+K15</f>
        <v>0</v>
      </c>
      <c r="L5" s="240">
        <f>L6+L14+L15</f>
        <v>0</v>
      </c>
    </row>
    <row r="6" spans="1:12" ht="18.75" customHeight="1">
      <c r="A6" s="1102"/>
      <c r="B6" s="958"/>
      <c r="C6" s="1087" t="s">
        <v>110</v>
      </c>
      <c r="D6" s="1092"/>
      <c r="E6" s="1088"/>
      <c r="F6" s="43">
        <f aca="true" t="shared" si="0" ref="F6:F15">G6+K6+L6</f>
        <v>216093</v>
      </c>
      <c r="G6" s="43">
        <f aca="true" t="shared" si="1" ref="G6:G15">SUM(H6:J6)</f>
        <v>216093</v>
      </c>
      <c r="H6" s="43">
        <f>H7+SUM(H10:H13)</f>
        <v>12728</v>
      </c>
      <c r="I6" s="43">
        <f>I7+SUM(I10:I13)</f>
        <v>203365</v>
      </c>
      <c r="J6" s="43">
        <f>J7+SUM(J10:J13)</f>
        <v>0</v>
      </c>
      <c r="K6" s="43">
        <f>K7+SUM(K10:K13)</f>
        <v>0</v>
      </c>
      <c r="L6" s="123">
        <f>L7+SUM(L10:L13)</f>
        <v>0</v>
      </c>
    </row>
    <row r="7" spans="1:12" ht="18.75" customHeight="1">
      <c r="A7" s="1102"/>
      <c r="B7" s="959"/>
      <c r="C7" s="958"/>
      <c r="D7" s="1087" t="s">
        <v>111</v>
      </c>
      <c r="E7" s="1088"/>
      <c r="F7" s="43">
        <f t="shared" si="0"/>
        <v>168851</v>
      </c>
      <c r="G7" s="43">
        <f>SUM(H7:J7)</f>
        <v>168851</v>
      </c>
      <c r="H7" s="43">
        <v>10003</v>
      </c>
      <c r="I7" s="43">
        <v>158848</v>
      </c>
      <c r="J7" s="43">
        <f>J8+J9</f>
        <v>0</v>
      </c>
      <c r="K7" s="43">
        <f>K8+K9</f>
        <v>0</v>
      </c>
      <c r="L7" s="123">
        <f>L8+L9</f>
        <v>0</v>
      </c>
    </row>
    <row r="8" spans="1:12" ht="18.75" customHeight="1">
      <c r="A8" s="1102"/>
      <c r="B8" s="959"/>
      <c r="C8" s="959"/>
      <c r="D8" s="958"/>
      <c r="E8" s="50" t="s">
        <v>280</v>
      </c>
      <c r="F8" s="43">
        <f t="shared" si="0"/>
        <v>95426</v>
      </c>
      <c r="G8" s="43">
        <f t="shared" si="1"/>
        <v>95426</v>
      </c>
      <c r="H8" s="43">
        <v>0</v>
      </c>
      <c r="I8" s="43">
        <v>95426</v>
      </c>
      <c r="J8" s="43">
        <v>0</v>
      </c>
      <c r="K8" s="43">
        <v>0</v>
      </c>
      <c r="L8" s="123">
        <v>0</v>
      </c>
    </row>
    <row r="9" spans="1:12" ht="18.75" customHeight="1">
      <c r="A9" s="1102"/>
      <c r="B9" s="959"/>
      <c r="C9" s="959"/>
      <c r="D9" s="964"/>
      <c r="E9" s="11" t="s">
        <v>112</v>
      </c>
      <c r="F9" s="43">
        <f t="shared" si="0"/>
        <v>73425</v>
      </c>
      <c r="G9" s="43">
        <f t="shared" si="1"/>
        <v>73425</v>
      </c>
      <c r="H9" s="43">
        <f>H7-H8</f>
        <v>10003</v>
      </c>
      <c r="I9" s="43">
        <f>I7-I8</f>
        <v>63422</v>
      </c>
      <c r="J9" s="43">
        <v>0</v>
      </c>
      <c r="K9" s="43">
        <v>0</v>
      </c>
      <c r="L9" s="123">
        <v>0</v>
      </c>
    </row>
    <row r="10" spans="1:12" ht="18.75" customHeight="1">
      <c r="A10" s="1102"/>
      <c r="B10" s="959"/>
      <c r="C10" s="959"/>
      <c r="D10" s="1087" t="s">
        <v>113</v>
      </c>
      <c r="E10" s="1088"/>
      <c r="F10" s="43">
        <f>G10+K10+L10</f>
        <v>13681</v>
      </c>
      <c r="G10" s="43">
        <f t="shared" si="1"/>
        <v>13681</v>
      </c>
      <c r="H10" s="43">
        <v>2378</v>
      </c>
      <c r="I10" s="43">
        <v>11303</v>
      </c>
      <c r="J10" s="43">
        <v>0</v>
      </c>
      <c r="K10" s="43">
        <v>0</v>
      </c>
      <c r="L10" s="123">
        <v>0</v>
      </c>
    </row>
    <row r="11" spans="1:12" ht="18.75" customHeight="1">
      <c r="A11" s="1102"/>
      <c r="B11" s="959"/>
      <c r="C11" s="959"/>
      <c r="D11" s="1087" t="s">
        <v>114</v>
      </c>
      <c r="E11" s="1088"/>
      <c r="F11" s="43">
        <f t="shared" si="0"/>
        <v>32979</v>
      </c>
      <c r="G11" s="43">
        <f t="shared" si="1"/>
        <v>32979</v>
      </c>
      <c r="H11" s="43">
        <v>243</v>
      </c>
      <c r="I11" s="43">
        <v>32736</v>
      </c>
      <c r="J11" s="43">
        <v>0</v>
      </c>
      <c r="K11" s="43">
        <v>0</v>
      </c>
      <c r="L11" s="123">
        <v>0</v>
      </c>
    </row>
    <row r="12" spans="1:12" ht="18.75" customHeight="1">
      <c r="A12" s="1102"/>
      <c r="B12" s="959"/>
      <c r="C12" s="959"/>
      <c r="D12" s="1087" t="s">
        <v>115</v>
      </c>
      <c r="E12" s="1088"/>
      <c r="F12" s="43">
        <f t="shared" si="0"/>
        <v>0</v>
      </c>
      <c r="G12" s="43">
        <f t="shared" si="1"/>
        <v>0</v>
      </c>
      <c r="H12" s="43">
        <v>0</v>
      </c>
      <c r="I12" s="43">
        <v>0</v>
      </c>
      <c r="J12" s="43">
        <v>0</v>
      </c>
      <c r="K12" s="43">
        <v>0</v>
      </c>
      <c r="L12" s="123">
        <v>0</v>
      </c>
    </row>
    <row r="13" spans="1:12" ht="18.75" customHeight="1">
      <c r="A13" s="1102"/>
      <c r="B13" s="959"/>
      <c r="C13" s="964"/>
      <c r="D13" s="1087" t="s">
        <v>116</v>
      </c>
      <c r="E13" s="1088"/>
      <c r="F13" s="43">
        <f t="shared" si="0"/>
        <v>582</v>
      </c>
      <c r="G13" s="43">
        <f t="shared" si="1"/>
        <v>582</v>
      </c>
      <c r="H13" s="43">
        <v>104</v>
      </c>
      <c r="I13" s="43">
        <v>478</v>
      </c>
      <c r="J13" s="43">
        <v>0</v>
      </c>
      <c r="K13" s="43">
        <v>0</v>
      </c>
      <c r="L13" s="123">
        <v>0</v>
      </c>
    </row>
    <row r="14" spans="1:12" ht="18.75" customHeight="1">
      <c r="A14" s="1102"/>
      <c r="B14" s="959"/>
      <c r="C14" s="1087" t="s">
        <v>117</v>
      </c>
      <c r="D14" s="1092"/>
      <c r="E14" s="1088"/>
      <c r="F14" s="43">
        <f t="shared" si="0"/>
        <v>30508</v>
      </c>
      <c r="G14" s="43">
        <f t="shared" si="1"/>
        <v>30508</v>
      </c>
      <c r="H14" s="43">
        <v>12566</v>
      </c>
      <c r="I14" s="43">
        <v>17942</v>
      </c>
      <c r="J14" s="43">
        <v>0</v>
      </c>
      <c r="K14" s="43">
        <v>0</v>
      </c>
      <c r="L14" s="123">
        <v>0</v>
      </c>
    </row>
    <row r="15" spans="1:12" ht="18.75" customHeight="1" thickBot="1">
      <c r="A15" s="1103"/>
      <c r="B15" s="968"/>
      <c r="C15" s="1093" t="s">
        <v>118</v>
      </c>
      <c r="D15" s="1094"/>
      <c r="E15" s="1095"/>
      <c r="F15" s="124">
        <f t="shared" si="0"/>
        <v>0</v>
      </c>
      <c r="G15" s="124">
        <f t="shared" si="1"/>
        <v>0</v>
      </c>
      <c r="H15" s="124">
        <v>0</v>
      </c>
      <c r="I15" s="124">
        <v>0</v>
      </c>
      <c r="J15" s="124">
        <v>0</v>
      </c>
      <c r="K15" s="124">
        <v>0</v>
      </c>
      <c r="L15" s="125">
        <v>0</v>
      </c>
    </row>
    <row r="16" spans="1:12" ht="18.75" customHeight="1" thickTop="1">
      <c r="A16" s="1096" t="s">
        <v>126</v>
      </c>
      <c r="B16" s="1098" t="s">
        <v>109</v>
      </c>
      <c r="C16" s="1099"/>
      <c r="D16" s="1099"/>
      <c r="E16" s="1100"/>
      <c r="F16" s="241">
        <f>ROUND(F5*1000/$L$2,0)</f>
        <v>2740011</v>
      </c>
      <c r="G16" s="241">
        <f aca="true" t="shared" si="2" ref="G16:L16">ROUND(G5*1000/$L$2,0)</f>
        <v>2740011</v>
      </c>
      <c r="H16" s="241">
        <f t="shared" si="2"/>
        <v>281044</v>
      </c>
      <c r="I16" s="241">
        <f t="shared" si="2"/>
        <v>2458967</v>
      </c>
      <c r="J16" s="241">
        <f t="shared" si="2"/>
        <v>0</v>
      </c>
      <c r="K16" s="241">
        <f t="shared" si="2"/>
        <v>0</v>
      </c>
      <c r="L16" s="242">
        <f t="shared" si="2"/>
        <v>0</v>
      </c>
    </row>
    <row r="17" spans="1:12" ht="18.75" customHeight="1">
      <c r="A17" s="1096"/>
      <c r="B17" s="958"/>
      <c r="C17" s="1087" t="s">
        <v>110</v>
      </c>
      <c r="D17" s="1092"/>
      <c r="E17" s="1088"/>
      <c r="F17" s="43">
        <f aca="true" t="shared" si="3" ref="F17:L17">ROUND(F6*1000/$L$2,0)</f>
        <v>2401033</v>
      </c>
      <c r="G17" s="43">
        <f t="shared" si="3"/>
        <v>2401033</v>
      </c>
      <c r="H17" s="43">
        <f t="shared" si="3"/>
        <v>141422</v>
      </c>
      <c r="I17" s="43">
        <f t="shared" si="3"/>
        <v>2259611</v>
      </c>
      <c r="J17" s="43">
        <f t="shared" si="3"/>
        <v>0</v>
      </c>
      <c r="K17" s="43">
        <f t="shared" si="3"/>
        <v>0</v>
      </c>
      <c r="L17" s="123">
        <f t="shared" si="3"/>
        <v>0</v>
      </c>
    </row>
    <row r="18" spans="1:12" ht="18.75" customHeight="1">
      <c r="A18" s="1096"/>
      <c r="B18" s="959"/>
      <c r="C18" s="958"/>
      <c r="D18" s="1087" t="s">
        <v>111</v>
      </c>
      <c r="E18" s="1088"/>
      <c r="F18" s="43">
        <f aca="true" t="shared" si="4" ref="F18:L18">ROUND(F7*1000/$L$2,0)</f>
        <v>1876122</v>
      </c>
      <c r="G18" s="43">
        <f t="shared" si="4"/>
        <v>1876122</v>
      </c>
      <c r="H18" s="43">
        <f t="shared" si="4"/>
        <v>111144</v>
      </c>
      <c r="I18" s="43">
        <f t="shared" si="4"/>
        <v>1764978</v>
      </c>
      <c r="J18" s="43">
        <f t="shared" si="4"/>
        <v>0</v>
      </c>
      <c r="K18" s="43">
        <f t="shared" si="4"/>
        <v>0</v>
      </c>
      <c r="L18" s="123">
        <f t="shared" si="4"/>
        <v>0</v>
      </c>
    </row>
    <row r="19" spans="1:12" ht="18.75" customHeight="1">
      <c r="A19" s="1096"/>
      <c r="B19" s="959"/>
      <c r="C19" s="959"/>
      <c r="D19" s="958"/>
      <c r="E19" s="50" t="s">
        <v>281</v>
      </c>
      <c r="F19" s="43">
        <f aca="true" t="shared" si="5" ref="F19:L19">ROUND(F8*1000/$L$2,0)</f>
        <v>1060289</v>
      </c>
      <c r="G19" s="43">
        <f t="shared" si="5"/>
        <v>1060289</v>
      </c>
      <c r="H19" s="43">
        <f t="shared" si="5"/>
        <v>0</v>
      </c>
      <c r="I19" s="43">
        <f t="shared" si="5"/>
        <v>1060289</v>
      </c>
      <c r="J19" s="43">
        <f t="shared" si="5"/>
        <v>0</v>
      </c>
      <c r="K19" s="43">
        <f t="shared" si="5"/>
        <v>0</v>
      </c>
      <c r="L19" s="123">
        <f t="shared" si="5"/>
        <v>0</v>
      </c>
    </row>
    <row r="20" spans="1:12" ht="18.75" customHeight="1">
      <c r="A20" s="1096"/>
      <c r="B20" s="959"/>
      <c r="C20" s="959"/>
      <c r="D20" s="964"/>
      <c r="E20" s="11" t="s">
        <v>112</v>
      </c>
      <c r="F20" s="43">
        <f aca="true" t="shared" si="6" ref="F20:L20">ROUND(F9*1000/$L$2,0)</f>
        <v>815833</v>
      </c>
      <c r="G20" s="43">
        <f t="shared" si="6"/>
        <v>815833</v>
      </c>
      <c r="H20" s="43">
        <f t="shared" si="6"/>
        <v>111144</v>
      </c>
      <c r="I20" s="43">
        <f t="shared" si="6"/>
        <v>704689</v>
      </c>
      <c r="J20" s="43">
        <f t="shared" si="6"/>
        <v>0</v>
      </c>
      <c r="K20" s="43">
        <f t="shared" si="6"/>
        <v>0</v>
      </c>
      <c r="L20" s="123">
        <f t="shared" si="6"/>
        <v>0</v>
      </c>
    </row>
    <row r="21" spans="1:12" ht="18.75" customHeight="1">
      <c r="A21" s="1096"/>
      <c r="B21" s="959"/>
      <c r="C21" s="959"/>
      <c r="D21" s="1087" t="s">
        <v>113</v>
      </c>
      <c r="E21" s="1088"/>
      <c r="F21" s="43">
        <f aca="true" t="shared" si="7" ref="F21:L21">ROUND(F10*1000/$L$2,0)</f>
        <v>152011</v>
      </c>
      <c r="G21" s="43">
        <f t="shared" si="7"/>
        <v>152011</v>
      </c>
      <c r="H21" s="43">
        <f t="shared" si="7"/>
        <v>26422</v>
      </c>
      <c r="I21" s="43">
        <f t="shared" si="7"/>
        <v>125589</v>
      </c>
      <c r="J21" s="43">
        <f t="shared" si="7"/>
        <v>0</v>
      </c>
      <c r="K21" s="43">
        <f t="shared" si="7"/>
        <v>0</v>
      </c>
      <c r="L21" s="123">
        <f t="shared" si="7"/>
        <v>0</v>
      </c>
    </row>
    <row r="22" spans="1:12" ht="18.75" customHeight="1">
      <c r="A22" s="1096"/>
      <c r="B22" s="959"/>
      <c r="C22" s="959"/>
      <c r="D22" s="1087" t="s">
        <v>114</v>
      </c>
      <c r="E22" s="1088"/>
      <c r="F22" s="43">
        <f aca="true" t="shared" si="8" ref="F22:L22">ROUND(F11*1000/$L$2,0)</f>
        <v>366433</v>
      </c>
      <c r="G22" s="43">
        <f t="shared" si="8"/>
        <v>366433</v>
      </c>
      <c r="H22" s="43">
        <f t="shared" si="8"/>
        <v>2700</v>
      </c>
      <c r="I22" s="43">
        <f t="shared" si="8"/>
        <v>363733</v>
      </c>
      <c r="J22" s="43">
        <f t="shared" si="8"/>
        <v>0</v>
      </c>
      <c r="K22" s="43">
        <f t="shared" si="8"/>
        <v>0</v>
      </c>
      <c r="L22" s="123">
        <f t="shared" si="8"/>
        <v>0</v>
      </c>
    </row>
    <row r="23" spans="1:12" ht="18.75" customHeight="1">
      <c r="A23" s="1096"/>
      <c r="B23" s="959"/>
      <c r="C23" s="959"/>
      <c r="D23" s="1087" t="s">
        <v>115</v>
      </c>
      <c r="E23" s="1088"/>
      <c r="F23" s="43">
        <f aca="true" t="shared" si="9" ref="F23:L23">ROUND(F12*1000/$L$2,0)</f>
        <v>0</v>
      </c>
      <c r="G23" s="43">
        <f t="shared" si="9"/>
        <v>0</v>
      </c>
      <c r="H23" s="43">
        <f t="shared" si="9"/>
        <v>0</v>
      </c>
      <c r="I23" s="43">
        <f t="shared" si="9"/>
        <v>0</v>
      </c>
      <c r="J23" s="43">
        <f t="shared" si="9"/>
        <v>0</v>
      </c>
      <c r="K23" s="43">
        <f t="shared" si="9"/>
        <v>0</v>
      </c>
      <c r="L23" s="123">
        <f t="shared" si="9"/>
        <v>0</v>
      </c>
    </row>
    <row r="24" spans="1:12" ht="18.75" customHeight="1">
      <c r="A24" s="1096"/>
      <c r="B24" s="959"/>
      <c r="C24" s="964"/>
      <c r="D24" s="1087" t="s">
        <v>116</v>
      </c>
      <c r="E24" s="1088"/>
      <c r="F24" s="43">
        <f aca="true" t="shared" si="10" ref="F24:L24">ROUND(F13*1000/$L$2,0)</f>
        <v>6467</v>
      </c>
      <c r="G24" s="43">
        <f t="shared" si="10"/>
        <v>6467</v>
      </c>
      <c r="H24" s="43">
        <f t="shared" si="10"/>
        <v>1156</v>
      </c>
      <c r="I24" s="43">
        <f t="shared" si="10"/>
        <v>5311</v>
      </c>
      <c r="J24" s="43">
        <f t="shared" si="10"/>
        <v>0</v>
      </c>
      <c r="K24" s="43">
        <f t="shared" si="10"/>
        <v>0</v>
      </c>
      <c r="L24" s="123">
        <f t="shared" si="10"/>
        <v>0</v>
      </c>
    </row>
    <row r="25" spans="1:12" ht="18.75" customHeight="1">
      <c r="A25" s="1096"/>
      <c r="B25" s="959"/>
      <c r="C25" s="1087" t="s">
        <v>117</v>
      </c>
      <c r="D25" s="1092"/>
      <c r="E25" s="1088"/>
      <c r="F25" s="43">
        <f aca="true" t="shared" si="11" ref="F25:L25">ROUND(F14*1000/$L$2,0)</f>
        <v>338978</v>
      </c>
      <c r="G25" s="43">
        <f t="shared" si="11"/>
        <v>338978</v>
      </c>
      <c r="H25" s="43">
        <f t="shared" si="11"/>
        <v>139622</v>
      </c>
      <c r="I25" s="43">
        <f t="shared" si="11"/>
        <v>199356</v>
      </c>
      <c r="J25" s="43">
        <f t="shared" si="11"/>
        <v>0</v>
      </c>
      <c r="K25" s="43">
        <f t="shared" si="11"/>
        <v>0</v>
      </c>
      <c r="L25" s="123">
        <f t="shared" si="11"/>
        <v>0</v>
      </c>
    </row>
    <row r="26" spans="1:12" ht="18.75" customHeight="1" thickBot="1">
      <c r="A26" s="1097"/>
      <c r="B26" s="960"/>
      <c r="C26" s="1089" t="s">
        <v>118</v>
      </c>
      <c r="D26" s="1090"/>
      <c r="E26" s="1091"/>
      <c r="F26" s="243">
        <f aca="true" t="shared" si="12" ref="F26:L26">ROUND(F15*1000/$L$2,0)</f>
        <v>0</v>
      </c>
      <c r="G26" s="243">
        <f t="shared" si="12"/>
        <v>0</v>
      </c>
      <c r="H26" s="243">
        <f t="shared" si="12"/>
        <v>0</v>
      </c>
      <c r="I26" s="243">
        <f t="shared" si="12"/>
        <v>0</v>
      </c>
      <c r="J26" s="243">
        <f t="shared" si="12"/>
        <v>0</v>
      </c>
      <c r="K26" s="243">
        <f t="shared" si="12"/>
        <v>0</v>
      </c>
      <c r="L26" s="244">
        <f t="shared" si="12"/>
        <v>0</v>
      </c>
    </row>
    <row r="27" ht="19.5" customHeight="1">
      <c r="A27" s="7" t="s">
        <v>120</v>
      </c>
    </row>
  </sheetData>
  <sheetProtection/>
  <mergeCells count="32">
    <mergeCell ref="K3:K4"/>
    <mergeCell ref="L3:L4"/>
    <mergeCell ref="A1:H1"/>
    <mergeCell ref="A3:E4"/>
    <mergeCell ref="F3:F4"/>
    <mergeCell ref="G3:J3"/>
    <mergeCell ref="A5:A15"/>
    <mergeCell ref="B5:E5"/>
    <mergeCell ref="B6:B15"/>
    <mergeCell ref="C6:E6"/>
    <mergeCell ref="C7:C13"/>
    <mergeCell ref="D7:E7"/>
    <mergeCell ref="D8:D9"/>
    <mergeCell ref="D10:E10"/>
    <mergeCell ref="D11:E11"/>
    <mergeCell ref="D12:E12"/>
    <mergeCell ref="D13:E13"/>
    <mergeCell ref="C14:E14"/>
    <mergeCell ref="C15:E15"/>
    <mergeCell ref="A16:A26"/>
    <mergeCell ref="B16:E16"/>
    <mergeCell ref="B17:B26"/>
    <mergeCell ref="C17:E17"/>
    <mergeCell ref="C18:C24"/>
    <mergeCell ref="D18:E18"/>
    <mergeCell ref="D19:D20"/>
    <mergeCell ref="D21:E21"/>
    <mergeCell ref="C26:E26"/>
    <mergeCell ref="D22:E22"/>
    <mergeCell ref="D23:E23"/>
    <mergeCell ref="D24:E24"/>
    <mergeCell ref="C25:E25"/>
  </mergeCells>
  <printOptions/>
  <pageMargins left="0.75" right="0.75" top="1" bottom="1" header="0.512" footer="0.512"/>
  <pageSetup horizontalDpi="300" verticalDpi="300" orientation="landscape" paperSize="9" scale="95" r:id="rId1"/>
</worksheet>
</file>

<file path=xl/worksheets/sheet17.xml><?xml version="1.0" encoding="utf-8"?>
<worksheet xmlns="http://schemas.openxmlformats.org/spreadsheetml/2006/main" xmlns:r="http://schemas.openxmlformats.org/officeDocument/2006/relationships">
  <sheetPr codeName="Sheet17"/>
  <dimension ref="A1:L27"/>
  <sheetViews>
    <sheetView zoomScalePageLayoutView="0" workbookViewId="0" topLeftCell="A1">
      <selection activeCell="A1" sqref="A1:H1"/>
    </sheetView>
  </sheetViews>
  <sheetFormatPr defaultColWidth="9.00390625" defaultRowHeight="13.5"/>
  <cols>
    <col min="1" max="1" width="4.125" style="7" customWidth="1"/>
    <col min="2" max="2" width="2.375" style="7" customWidth="1"/>
    <col min="3" max="3" width="2.50390625" style="7" customWidth="1"/>
    <col min="4" max="4" width="2.625" style="7" customWidth="1"/>
    <col min="5" max="5" width="14.875" style="7" customWidth="1"/>
    <col min="6" max="6" width="12.50390625" style="7" customWidth="1"/>
    <col min="7" max="10" width="11.75390625" style="7" customWidth="1"/>
    <col min="11" max="11" width="10.875" style="7" customWidth="1"/>
    <col min="12" max="12" width="9.875" style="7" customWidth="1"/>
    <col min="13" max="16384" width="9.00390625" style="7" customWidth="1"/>
  </cols>
  <sheetData>
    <row r="1" spans="1:8" ht="21" customHeight="1">
      <c r="A1" s="1110" t="s">
        <v>325</v>
      </c>
      <c r="B1" s="1110"/>
      <c r="C1" s="1110"/>
      <c r="D1" s="1110"/>
      <c r="E1" s="1110"/>
      <c r="F1" s="1110"/>
      <c r="G1" s="1110"/>
      <c r="H1" s="1110"/>
    </row>
    <row r="2" spans="11:12" ht="21" customHeight="1" thickBot="1">
      <c r="K2" s="52" t="s">
        <v>315</v>
      </c>
      <c r="L2" s="53">
        <f>'表５'!P31</f>
        <v>1147</v>
      </c>
    </row>
    <row r="3" spans="1:12" ht="16.5" customHeight="1">
      <c r="A3" s="1111" t="s">
        <v>106</v>
      </c>
      <c r="B3" s="1112"/>
      <c r="C3" s="1112"/>
      <c r="D3" s="1112"/>
      <c r="E3" s="1113"/>
      <c r="F3" s="1053" t="s">
        <v>28</v>
      </c>
      <c r="G3" s="1048" t="s">
        <v>93</v>
      </c>
      <c r="H3" s="1049"/>
      <c r="I3" s="1049"/>
      <c r="J3" s="1049"/>
      <c r="K3" s="1053" t="s">
        <v>107</v>
      </c>
      <c r="L3" s="1108" t="s">
        <v>264</v>
      </c>
    </row>
    <row r="4" spans="1:12" ht="33" customHeight="1" thickBot="1">
      <c r="A4" s="1114"/>
      <c r="B4" s="1115"/>
      <c r="C4" s="1115"/>
      <c r="D4" s="1115"/>
      <c r="E4" s="1116"/>
      <c r="F4" s="1107"/>
      <c r="G4" s="54" t="s">
        <v>108</v>
      </c>
      <c r="H4" s="46" t="s">
        <v>268</v>
      </c>
      <c r="I4" s="183" t="s">
        <v>263</v>
      </c>
      <c r="J4" s="184" t="s">
        <v>269</v>
      </c>
      <c r="K4" s="1107"/>
      <c r="L4" s="1109"/>
    </row>
    <row r="5" spans="1:12" ht="18.75" customHeight="1">
      <c r="A5" s="1101" t="s">
        <v>27</v>
      </c>
      <c r="B5" s="1104" t="s">
        <v>109</v>
      </c>
      <c r="C5" s="1105"/>
      <c r="D5" s="1105"/>
      <c r="E5" s="1106"/>
      <c r="F5" s="239">
        <f>G5+K5+L5</f>
        <v>1069606</v>
      </c>
      <c r="G5" s="239">
        <f>SUM(H5:J5)</f>
        <v>930306</v>
      </c>
      <c r="H5" s="239">
        <f>H6+H14+H15</f>
        <v>29937</v>
      </c>
      <c r="I5" s="239">
        <f>I6+I14+I15</f>
        <v>52764</v>
      </c>
      <c r="J5" s="239">
        <f>J6+J14+J15</f>
        <v>847605</v>
      </c>
      <c r="K5" s="239">
        <f>K6+K14+K15</f>
        <v>139300</v>
      </c>
      <c r="L5" s="240">
        <f>L6+L14+L15</f>
        <v>0</v>
      </c>
    </row>
    <row r="6" spans="1:12" ht="18.75" customHeight="1">
      <c r="A6" s="1102"/>
      <c r="B6" s="958"/>
      <c r="C6" s="1087" t="s">
        <v>110</v>
      </c>
      <c r="D6" s="1092"/>
      <c r="E6" s="1088"/>
      <c r="F6" s="43">
        <f aca="true" t="shared" si="0" ref="F6:F15">G6+K6+L6</f>
        <v>866720</v>
      </c>
      <c r="G6" s="43">
        <f aca="true" t="shared" si="1" ref="G6:G15">SUM(H6:J6)</f>
        <v>866720</v>
      </c>
      <c r="H6" s="43">
        <f>H7+SUM(H10:H13)</f>
        <v>1626</v>
      </c>
      <c r="I6" s="43">
        <f>I7+SUM(I10:I13)</f>
        <v>44964</v>
      </c>
      <c r="J6" s="43">
        <f>J7+SUM(J10:J13)</f>
        <v>820130</v>
      </c>
      <c r="K6" s="43">
        <f>K7+SUM(K10:K13)</f>
        <v>0</v>
      </c>
      <c r="L6" s="123">
        <f>L7+SUM(L10:L13)</f>
        <v>0</v>
      </c>
    </row>
    <row r="7" spans="1:12" ht="18.75" customHeight="1">
      <c r="A7" s="1102"/>
      <c r="B7" s="959"/>
      <c r="C7" s="958"/>
      <c r="D7" s="1087" t="s">
        <v>111</v>
      </c>
      <c r="E7" s="1088"/>
      <c r="F7" s="43">
        <f t="shared" si="0"/>
        <v>756325</v>
      </c>
      <c r="G7" s="43">
        <f t="shared" si="1"/>
        <v>756325</v>
      </c>
      <c r="H7" s="43">
        <v>0</v>
      </c>
      <c r="I7" s="43">
        <v>37244</v>
      </c>
      <c r="J7" s="43">
        <v>719081</v>
      </c>
      <c r="K7" s="43">
        <v>0</v>
      </c>
      <c r="L7" s="123">
        <v>0</v>
      </c>
    </row>
    <row r="8" spans="1:12" ht="18.75" customHeight="1">
      <c r="A8" s="1102"/>
      <c r="B8" s="959"/>
      <c r="C8" s="959"/>
      <c r="D8" s="958"/>
      <c r="E8" s="50" t="s">
        <v>280</v>
      </c>
      <c r="F8" s="43">
        <f t="shared" si="0"/>
        <v>408257</v>
      </c>
      <c r="G8" s="43">
        <f t="shared" si="1"/>
        <v>408257</v>
      </c>
      <c r="H8" s="43">
        <v>0</v>
      </c>
      <c r="I8" s="43">
        <v>23105</v>
      </c>
      <c r="J8" s="43">
        <v>385152</v>
      </c>
      <c r="K8" s="43">
        <v>0</v>
      </c>
      <c r="L8" s="123">
        <v>0</v>
      </c>
    </row>
    <row r="9" spans="1:12" ht="18.75" customHeight="1">
      <c r="A9" s="1102"/>
      <c r="B9" s="959"/>
      <c r="C9" s="959"/>
      <c r="D9" s="964"/>
      <c r="E9" s="11" t="s">
        <v>112</v>
      </c>
      <c r="F9" s="43">
        <f t="shared" si="0"/>
        <v>348068</v>
      </c>
      <c r="G9" s="43">
        <f t="shared" si="1"/>
        <v>348068</v>
      </c>
      <c r="H9" s="43">
        <f>H7-H8</f>
        <v>0</v>
      </c>
      <c r="I9" s="43">
        <f>I7-I8</f>
        <v>14139</v>
      </c>
      <c r="J9" s="43">
        <f>J7-J8</f>
        <v>333929</v>
      </c>
      <c r="K9" s="43">
        <f>K7-K8</f>
        <v>0</v>
      </c>
      <c r="L9" s="43">
        <f>L7-L8</f>
        <v>0</v>
      </c>
    </row>
    <row r="10" spans="1:12" ht="18.75" customHeight="1">
      <c r="A10" s="1102"/>
      <c r="B10" s="959"/>
      <c r="C10" s="959"/>
      <c r="D10" s="1087" t="s">
        <v>113</v>
      </c>
      <c r="E10" s="1088"/>
      <c r="F10" s="43">
        <f>G10+K10+L10</f>
        <v>22615</v>
      </c>
      <c r="G10" s="43">
        <f t="shared" si="1"/>
        <v>22615</v>
      </c>
      <c r="H10" s="43">
        <v>0</v>
      </c>
      <c r="I10" s="43">
        <v>129</v>
      </c>
      <c r="J10" s="43">
        <v>22486</v>
      </c>
      <c r="K10" s="43">
        <v>0</v>
      </c>
      <c r="L10" s="123">
        <v>0</v>
      </c>
    </row>
    <row r="11" spans="1:12" ht="18.75" customHeight="1">
      <c r="A11" s="1102"/>
      <c r="B11" s="959"/>
      <c r="C11" s="959"/>
      <c r="D11" s="1087" t="s">
        <v>114</v>
      </c>
      <c r="E11" s="1088"/>
      <c r="F11" s="43">
        <f t="shared" si="0"/>
        <v>48450</v>
      </c>
      <c r="G11" s="43">
        <f t="shared" si="1"/>
        <v>48450</v>
      </c>
      <c r="H11" s="43">
        <v>0</v>
      </c>
      <c r="I11" s="43">
        <v>3569</v>
      </c>
      <c r="J11" s="43">
        <v>44881</v>
      </c>
      <c r="K11" s="43">
        <v>0</v>
      </c>
      <c r="L11" s="123">
        <v>0</v>
      </c>
    </row>
    <row r="12" spans="1:12" ht="18.75" customHeight="1">
      <c r="A12" s="1102"/>
      <c r="B12" s="959"/>
      <c r="C12" s="959"/>
      <c r="D12" s="1087" t="s">
        <v>115</v>
      </c>
      <c r="E12" s="1088"/>
      <c r="F12" s="43">
        <f t="shared" si="0"/>
        <v>37186</v>
      </c>
      <c r="G12" s="43">
        <f t="shared" si="1"/>
        <v>37186</v>
      </c>
      <c r="H12" s="43">
        <v>1606</v>
      </c>
      <c r="I12" s="43">
        <v>4016</v>
      </c>
      <c r="J12" s="43">
        <v>31564</v>
      </c>
      <c r="K12" s="43">
        <v>0</v>
      </c>
      <c r="L12" s="123">
        <v>0</v>
      </c>
    </row>
    <row r="13" spans="1:12" ht="18.75" customHeight="1">
      <c r="A13" s="1102"/>
      <c r="B13" s="959"/>
      <c r="C13" s="964"/>
      <c r="D13" s="1087" t="s">
        <v>116</v>
      </c>
      <c r="E13" s="1088"/>
      <c r="F13" s="43">
        <f t="shared" si="0"/>
        <v>2144</v>
      </c>
      <c r="G13" s="43">
        <f t="shared" si="1"/>
        <v>2144</v>
      </c>
      <c r="H13" s="43">
        <v>20</v>
      </c>
      <c r="I13" s="43">
        <v>6</v>
      </c>
      <c r="J13" s="43">
        <v>2118</v>
      </c>
      <c r="K13" s="43">
        <v>0</v>
      </c>
      <c r="L13" s="123">
        <v>0</v>
      </c>
    </row>
    <row r="14" spans="1:12" ht="18.75" customHeight="1">
      <c r="A14" s="1102"/>
      <c r="B14" s="959"/>
      <c r="C14" s="1087" t="s">
        <v>117</v>
      </c>
      <c r="D14" s="1092"/>
      <c r="E14" s="1088"/>
      <c r="F14" s="43">
        <f>G14+K14+L14</f>
        <v>202376</v>
      </c>
      <c r="G14" s="43">
        <f t="shared" si="1"/>
        <v>63076</v>
      </c>
      <c r="H14" s="43">
        <v>28311</v>
      </c>
      <c r="I14" s="43">
        <v>7800</v>
      </c>
      <c r="J14" s="43">
        <v>26965</v>
      </c>
      <c r="K14" s="43">
        <v>139300</v>
      </c>
      <c r="L14" s="123">
        <v>0</v>
      </c>
    </row>
    <row r="15" spans="1:12" ht="18.75" customHeight="1" thickBot="1">
      <c r="A15" s="1103"/>
      <c r="B15" s="968"/>
      <c r="C15" s="1093" t="s">
        <v>118</v>
      </c>
      <c r="D15" s="1094"/>
      <c r="E15" s="1095"/>
      <c r="F15" s="124">
        <f t="shared" si="0"/>
        <v>510</v>
      </c>
      <c r="G15" s="124">
        <f t="shared" si="1"/>
        <v>510</v>
      </c>
      <c r="H15" s="124">
        <v>0</v>
      </c>
      <c r="I15" s="124">
        <v>0</v>
      </c>
      <c r="J15" s="124">
        <v>510</v>
      </c>
      <c r="K15" s="124">
        <v>0</v>
      </c>
      <c r="L15" s="125">
        <v>0</v>
      </c>
    </row>
    <row r="16" spans="1:12" ht="18.75" customHeight="1" thickTop="1">
      <c r="A16" s="1096" t="s">
        <v>119</v>
      </c>
      <c r="B16" s="1098" t="s">
        <v>109</v>
      </c>
      <c r="C16" s="1099"/>
      <c r="D16" s="1099"/>
      <c r="E16" s="1100"/>
      <c r="F16" s="241">
        <f>ROUND(F5*1000/$L$2,0)</f>
        <v>932525</v>
      </c>
      <c r="G16" s="241">
        <f aca="true" t="shared" si="2" ref="G16:L16">ROUND(G5*1000/$L$2,0)</f>
        <v>811078</v>
      </c>
      <c r="H16" s="241">
        <f t="shared" si="2"/>
        <v>26100</v>
      </c>
      <c r="I16" s="241">
        <f t="shared" si="2"/>
        <v>46002</v>
      </c>
      <c r="J16" s="241">
        <f t="shared" si="2"/>
        <v>738976</v>
      </c>
      <c r="K16" s="241">
        <f t="shared" si="2"/>
        <v>121447</v>
      </c>
      <c r="L16" s="242">
        <f t="shared" si="2"/>
        <v>0</v>
      </c>
    </row>
    <row r="17" spans="1:12" ht="18.75" customHeight="1">
      <c r="A17" s="1096"/>
      <c r="B17" s="958"/>
      <c r="C17" s="1087" t="s">
        <v>110</v>
      </c>
      <c r="D17" s="1092"/>
      <c r="E17" s="1088"/>
      <c r="F17" s="43">
        <f aca="true" t="shared" si="3" ref="F17:L26">ROUND(F6*1000/$L$2,0)</f>
        <v>755641</v>
      </c>
      <c r="G17" s="43">
        <f t="shared" si="3"/>
        <v>755641</v>
      </c>
      <c r="H17" s="43">
        <f t="shared" si="3"/>
        <v>1418</v>
      </c>
      <c r="I17" s="43">
        <f t="shared" si="3"/>
        <v>39201</v>
      </c>
      <c r="J17" s="43">
        <f t="shared" si="3"/>
        <v>715022</v>
      </c>
      <c r="K17" s="43">
        <f t="shared" si="3"/>
        <v>0</v>
      </c>
      <c r="L17" s="123">
        <f t="shared" si="3"/>
        <v>0</v>
      </c>
    </row>
    <row r="18" spans="1:12" ht="18.75" customHeight="1">
      <c r="A18" s="1096"/>
      <c r="B18" s="959"/>
      <c r="C18" s="958"/>
      <c r="D18" s="1087" t="s">
        <v>111</v>
      </c>
      <c r="E18" s="1088"/>
      <c r="F18" s="43">
        <f t="shared" si="3"/>
        <v>659394</v>
      </c>
      <c r="G18" s="43">
        <f t="shared" si="3"/>
        <v>659394</v>
      </c>
      <c r="H18" s="43">
        <f t="shared" si="3"/>
        <v>0</v>
      </c>
      <c r="I18" s="43">
        <f t="shared" si="3"/>
        <v>32471</v>
      </c>
      <c r="J18" s="43">
        <f t="shared" si="3"/>
        <v>626923</v>
      </c>
      <c r="K18" s="43">
        <f t="shared" si="3"/>
        <v>0</v>
      </c>
      <c r="L18" s="123">
        <f t="shared" si="3"/>
        <v>0</v>
      </c>
    </row>
    <row r="19" spans="1:12" ht="18.75" customHeight="1">
      <c r="A19" s="1096"/>
      <c r="B19" s="959"/>
      <c r="C19" s="959"/>
      <c r="D19" s="958"/>
      <c r="E19" s="50" t="s">
        <v>280</v>
      </c>
      <c r="F19" s="43">
        <f t="shared" si="3"/>
        <v>355935</v>
      </c>
      <c r="G19" s="43">
        <f t="shared" si="3"/>
        <v>355935</v>
      </c>
      <c r="H19" s="43">
        <f t="shared" si="3"/>
        <v>0</v>
      </c>
      <c r="I19" s="43">
        <f t="shared" si="3"/>
        <v>20144</v>
      </c>
      <c r="J19" s="43">
        <f t="shared" si="3"/>
        <v>335791</v>
      </c>
      <c r="K19" s="43">
        <f t="shared" si="3"/>
        <v>0</v>
      </c>
      <c r="L19" s="123">
        <f t="shared" si="3"/>
        <v>0</v>
      </c>
    </row>
    <row r="20" spans="1:12" ht="18.75" customHeight="1">
      <c r="A20" s="1096"/>
      <c r="B20" s="959"/>
      <c r="C20" s="959"/>
      <c r="D20" s="964"/>
      <c r="E20" s="11" t="s">
        <v>112</v>
      </c>
      <c r="F20" s="43">
        <f t="shared" si="3"/>
        <v>303459</v>
      </c>
      <c r="G20" s="43">
        <f t="shared" si="3"/>
        <v>303459</v>
      </c>
      <c r="H20" s="43">
        <f t="shared" si="3"/>
        <v>0</v>
      </c>
      <c r="I20" s="43">
        <f t="shared" si="3"/>
        <v>12327</v>
      </c>
      <c r="J20" s="43">
        <f t="shared" si="3"/>
        <v>291133</v>
      </c>
      <c r="K20" s="43">
        <f t="shared" si="3"/>
        <v>0</v>
      </c>
      <c r="L20" s="123">
        <f t="shared" si="3"/>
        <v>0</v>
      </c>
    </row>
    <row r="21" spans="1:12" ht="18.75" customHeight="1">
      <c r="A21" s="1096"/>
      <c r="B21" s="959"/>
      <c r="C21" s="959"/>
      <c r="D21" s="1087" t="s">
        <v>113</v>
      </c>
      <c r="E21" s="1088"/>
      <c r="F21" s="43">
        <f t="shared" si="3"/>
        <v>19717</v>
      </c>
      <c r="G21" s="43">
        <f t="shared" si="3"/>
        <v>19717</v>
      </c>
      <c r="H21" s="43">
        <f t="shared" si="3"/>
        <v>0</v>
      </c>
      <c r="I21" s="43">
        <f t="shared" si="3"/>
        <v>112</v>
      </c>
      <c r="J21" s="43">
        <f t="shared" si="3"/>
        <v>19604</v>
      </c>
      <c r="K21" s="43">
        <f t="shared" si="3"/>
        <v>0</v>
      </c>
      <c r="L21" s="123">
        <f t="shared" si="3"/>
        <v>0</v>
      </c>
    </row>
    <row r="22" spans="1:12" ht="18.75" customHeight="1">
      <c r="A22" s="1096"/>
      <c r="B22" s="959"/>
      <c r="C22" s="959"/>
      <c r="D22" s="1087" t="s">
        <v>114</v>
      </c>
      <c r="E22" s="1088"/>
      <c r="F22" s="43">
        <f t="shared" si="3"/>
        <v>42241</v>
      </c>
      <c r="G22" s="43">
        <f t="shared" si="3"/>
        <v>42241</v>
      </c>
      <c r="H22" s="43">
        <f t="shared" si="3"/>
        <v>0</v>
      </c>
      <c r="I22" s="43">
        <f t="shared" si="3"/>
        <v>3112</v>
      </c>
      <c r="J22" s="43">
        <f t="shared" si="3"/>
        <v>39129</v>
      </c>
      <c r="K22" s="43">
        <f t="shared" si="3"/>
        <v>0</v>
      </c>
      <c r="L22" s="123">
        <f t="shared" si="3"/>
        <v>0</v>
      </c>
    </row>
    <row r="23" spans="1:12" ht="18.75" customHeight="1">
      <c r="A23" s="1096"/>
      <c r="B23" s="959"/>
      <c r="C23" s="959"/>
      <c r="D23" s="1087" t="s">
        <v>115</v>
      </c>
      <c r="E23" s="1088"/>
      <c r="F23" s="43">
        <f t="shared" si="3"/>
        <v>32420</v>
      </c>
      <c r="G23" s="43">
        <f t="shared" si="3"/>
        <v>32420</v>
      </c>
      <c r="H23" s="43">
        <f t="shared" si="3"/>
        <v>1400</v>
      </c>
      <c r="I23" s="43">
        <f t="shared" si="3"/>
        <v>3501</v>
      </c>
      <c r="J23" s="43">
        <f t="shared" si="3"/>
        <v>27519</v>
      </c>
      <c r="K23" s="43">
        <f t="shared" si="3"/>
        <v>0</v>
      </c>
      <c r="L23" s="123">
        <f t="shared" si="3"/>
        <v>0</v>
      </c>
    </row>
    <row r="24" spans="1:12" ht="18.75" customHeight="1">
      <c r="A24" s="1096"/>
      <c r="B24" s="959"/>
      <c r="C24" s="964"/>
      <c r="D24" s="1087" t="s">
        <v>116</v>
      </c>
      <c r="E24" s="1088"/>
      <c r="F24" s="43">
        <f t="shared" si="3"/>
        <v>1869</v>
      </c>
      <c r="G24" s="43">
        <f t="shared" si="3"/>
        <v>1869</v>
      </c>
      <c r="H24" s="43">
        <f t="shared" si="3"/>
        <v>17</v>
      </c>
      <c r="I24" s="43">
        <f t="shared" si="3"/>
        <v>5</v>
      </c>
      <c r="J24" s="43">
        <f t="shared" si="3"/>
        <v>1847</v>
      </c>
      <c r="K24" s="43">
        <f t="shared" si="3"/>
        <v>0</v>
      </c>
      <c r="L24" s="123">
        <f t="shared" si="3"/>
        <v>0</v>
      </c>
    </row>
    <row r="25" spans="1:12" ht="18.75" customHeight="1">
      <c r="A25" s="1096"/>
      <c r="B25" s="959"/>
      <c r="C25" s="1087" t="s">
        <v>117</v>
      </c>
      <c r="D25" s="1092"/>
      <c r="E25" s="1088"/>
      <c r="F25" s="43">
        <f t="shared" si="3"/>
        <v>176439</v>
      </c>
      <c r="G25" s="43">
        <f t="shared" si="3"/>
        <v>54992</v>
      </c>
      <c r="H25" s="43">
        <f t="shared" si="3"/>
        <v>24683</v>
      </c>
      <c r="I25" s="43">
        <f t="shared" si="3"/>
        <v>6800</v>
      </c>
      <c r="J25" s="43">
        <f t="shared" si="3"/>
        <v>23509</v>
      </c>
      <c r="K25" s="43">
        <f t="shared" si="3"/>
        <v>121447</v>
      </c>
      <c r="L25" s="123">
        <f t="shared" si="3"/>
        <v>0</v>
      </c>
    </row>
    <row r="26" spans="1:12" ht="18.75" customHeight="1" thickBot="1">
      <c r="A26" s="1097"/>
      <c r="B26" s="960"/>
      <c r="C26" s="1089" t="s">
        <v>118</v>
      </c>
      <c r="D26" s="1090"/>
      <c r="E26" s="1091"/>
      <c r="F26" s="243">
        <f t="shared" si="3"/>
        <v>445</v>
      </c>
      <c r="G26" s="243">
        <f t="shared" si="3"/>
        <v>445</v>
      </c>
      <c r="H26" s="243">
        <f t="shared" si="3"/>
        <v>0</v>
      </c>
      <c r="I26" s="243">
        <f t="shared" si="3"/>
        <v>0</v>
      </c>
      <c r="J26" s="243">
        <f t="shared" si="3"/>
        <v>445</v>
      </c>
      <c r="K26" s="243">
        <f t="shared" si="3"/>
        <v>0</v>
      </c>
      <c r="L26" s="244">
        <f t="shared" si="3"/>
        <v>0</v>
      </c>
    </row>
    <row r="27" ht="19.5" customHeight="1">
      <c r="A27" s="7" t="s">
        <v>120</v>
      </c>
    </row>
  </sheetData>
  <sheetProtection/>
  <mergeCells count="32">
    <mergeCell ref="D21:E21"/>
    <mergeCell ref="D22:E22"/>
    <mergeCell ref="D23:E23"/>
    <mergeCell ref="D24:E24"/>
    <mergeCell ref="C25:E25"/>
    <mergeCell ref="C26:E26"/>
    <mergeCell ref="D13:E13"/>
    <mergeCell ref="C14:E14"/>
    <mergeCell ref="C15:E15"/>
    <mergeCell ref="A16:A26"/>
    <mergeCell ref="B16:E16"/>
    <mergeCell ref="B17:B26"/>
    <mergeCell ref="C17:E17"/>
    <mergeCell ref="C18:C24"/>
    <mergeCell ref="D18:E18"/>
    <mergeCell ref="D19:D20"/>
    <mergeCell ref="A5:A15"/>
    <mergeCell ref="B5:E5"/>
    <mergeCell ref="B6:B15"/>
    <mergeCell ref="C6:E6"/>
    <mergeCell ref="C7:C13"/>
    <mergeCell ref="D7:E7"/>
    <mergeCell ref="D8:D9"/>
    <mergeCell ref="D10:E10"/>
    <mergeCell ref="D11:E11"/>
    <mergeCell ref="D12:E12"/>
    <mergeCell ref="A1:H1"/>
    <mergeCell ref="A3:E4"/>
    <mergeCell ref="F3:F4"/>
    <mergeCell ref="G3:J3"/>
    <mergeCell ref="K3:K4"/>
    <mergeCell ref="L3:L4"/>
  </mergeCells>
  <printOptions/>
  <pageMargins left="0.75" right="0.75" top="1" bottom="1" header="0.512" footer="0.512"/>
  <pageSetup horizontalDpi="300" verticalDpi="300" orientation="landscape" paperSize="9" scale="95"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A1:P28"/>
  <sheetViews>
    <sheetView zoomScalePageLayoutView="0" workbookViewId="0" topLeftCell="A1">
      <selection activeCell="A1" sqref="A1:H1"/>
    </sheetView>
  </sheetViews>
  <sheetFormatPr defaultColWidth="9.00390625" defaultRowHeight="13.5"/>
  <cols>
    <col min="1" max="1" width="3.625" style="7" customWidth="1"/>
    <col min="2" max="2" width="2.375" style="7" customWidth="1"/>
    <col min="3" max="3" width="24.375" style="7" customWidth="1"/>
    <col min="4" max="4" width="12.125" style="7" customWidth="1"/>
    <col min="5" max="5" width="11.875" style="7" customWidth="1"/>
    <col min="6" max="6" width="9.625" style="7" customWidth="1"/>
    <col min="7" max="7" width="11.75390625" style="7" customWidth="1"/>
    <col min="8" max="8" width="12.125" style="7" customWidth="1"/>
    <col min="9" max="9" width="11.00390625" style="7" customWidth="1"/>
    <col min="10" max="11" width="9.75390625" style="7" customWidth="1"/>
    <col min="12" max="12" width="12.125" style="7" customWidth="1"/>
    <col min="13" max="13" width="12.375" style="7" customWidth="1"/>
    <col min="14" max="14" width="11.375" style="7" customWidth="1"/>
    <col min="15" max="15" width="9.75390625" style="7" customWidth="1"/>
    <col min="16" max="16" width="12.75390625" style="7" bestFit="1" customWidth="1"/>
    <col min="17" max="16384" width="9.00390625" style="7" customWidth="1"/>
  </cols>
  <sheetData>
    <row r="1" spans="1:8" ht="21" customHeight="1">
      <c r="A1" s="1110" t="s">
        <v>307</v>
      </c>
      <c r="B1" s="1110"/>
      <c r="C1" s="1110"/>
      <c r="D1" s="1110"/>
      <c r="E1" s="1110"/>
      <c r="F1" s="1110"/>
      <c r="G1" s="1110"/>
      <c r="H1" s="1110"/>
    </row>
    <row r="2" spans="14:15" ht="21" customHeight="1" thickBot="1">
      <c r="N2" s="22"/>
      <c r="O2" s="22" t="s">
        <v>304</v>
      </c>
    </row>
    <row r="3" spans="1:15" ht="24.75" customHeight="1">
      <c r="A3" s="1111" t="s">
        <v>131</v>
      </c>
      <c r="B3" s="1112"/>
      <c r="C3" s="1113"/>
      <c r="D3" s="1053" t="s">
        <v>295</v>
      </c>
      <c r="E3" s="1048" t="s">
        <v>133</v>
      </c>
      <c r="F3" s="1049"/>
      <c r="G3" s="1049"/>
      <c r="H3" s="1049"/>
      <c r="I3" s="1053" t="s">
        <v>107</v>
      </c>
      <c r="J3" s="1081" t="s">
        <v>265</v>
      </c>
      <c r="K3" s="1081" t="s">
        <v>283</v>
      </c>
      <c r="L3" s="1048" t="s">
        <v>134</v>
      </c>
      <c r="M3" s="1049"/>
      <c r="N3" s="1049"/>
      <c r="O3" s="1108" t="s">
        <v>305</v>
      </c>
    </row>
    <row r="4" spans="1:15" ht="24.75" customHeight="1" thickBot="1">
      <c r="A4" s="1114"/>
      <c r="B4" s="1115"/>
      <c r="C4" s="1116"/>
      <c r="D4" s="1107"/>
      <c r="E4" s="54" t="s">
        <v>135</v>
      </c>
      <c r="F4" s="183" t="s">
        <v>268</v>
      </c>
      <c r="G4" s="183" t="s">
        <v>263</v>
      </c>
      <c r="H4" s="184" t="s">
        <v>269</v>
      </c>
      <c r="I4" s="1107"/>
      <c r="J4" s="1120"/>
      <c r="K4" s="1121"/>
      <c r="L4" s="47" t="s">
        <v>136</v>
      </c>
      <c r="M4" s="55" t="s">
        <v>137</v>
      </c>
      <c r="N4" s="55" t="s">
        <v>138</v>
      </c>
      <c r="O4" s="1119"/>
    </row>
    <row r="5" spans="1:16" ht="21" customHeight="1">
      <c r="A5" s="1101" t="s">
        <v>139</v>
      </c>
      <c r="B5" s="1104" t="s">
        <v>140</v>
      </c>
      <c r="C5" s="1106"/>
      <c r="D5" s="237">
        <f>E5+I5+J5+K5</f>
        <v>2030354</v>
      </c>
      <c r="E5" s="237">
        <f>SUM(F5:H5)</f>
        <v>2030354</v>
      </c>
      <c r="F5" s="237">
        <f>SUM(F6:F15)</f>
        <v>33646</v>
      </c>
      <c r="G5" s="237">
        <f aca="true" t="shared" si="0" ref="G5:N5">SUM(G6:G15)</f>
        <v>1996708</v>
      </c>
      <c r="H5" s="237">
        <f t="shared" si="0"/>
        <v>0</v>
      </c>
      <c r="I5" s="237">
        <f t="shared" si="0"/>
        <v>0</v>
      </c>
      <c r="J5" s="237">
        <f t="shared" si="0"/>
        <v>0</v>
      </c>
      <c r="K5" s="237">
        <f t="shared" si="0"/>
        <v>0</v>
      </c>
      <c r="L5" s="237">
        <f t="shared" si="0"/>
        <v>1796438</v>
      </c>
      <c r="M5" s="237">
        <f>SUM(M6:M15)</f>
        <v>228222</v>
      </c>
      <c r="N5" s="408">
        <f t="shared" si="0"/>
        <v>5694</v>
      </c>
      <c r="O5" s="412"/>
      <c r="P5" s="94"/>
    </row>
    <row r="6" spans="1:16" ht="21" customHeight="1">
      <c r="A6" s="1102"/>
      <c r="B6" s="958"/>
      <c r="C6" s="50" t="s">
        <v>141</v>
      </c>
      <c r="D6" s="16">
        <f aca="true" t="shared" si="1" ref="D6:D27">E6+I6+J6+K6</f>
        <v>0</v>
      </c>
      <c r="E6" s="16">
        <f>SUM(F6:H6)</f>
        <v>0</v>
      </c>
      <c r="F6" s="16">
        <f>'表２１－２'!I26</f>
        <v>0</v>
      </c>
      <c r="G6" s="16">
        <f>'表２１－２'!M26</f>
        <v>0</v>
      </c>
      <c r="H6" s="16">
        <f>'表２１－２'!Q26</f>
        <v>0</v>
      </c>
      <c r="I6" s="16">
        <f>'表２１－２'!U26</f>
        <v>0</v>
      </c>
      <c r="J6" s="16">
        <f>'表２１－２'!Y26</f>
        <v>0</v>
      </c>
      <c r="K6" s="16">
        <f>'表２１－２'!E63</f>
        <v>0</v>
      </c>
      <c r="L6" s="16">
        <f>'表２１－２'!I63</f>
        <v>0</v>
      </c>
      <c r="M6" s="16">
        <f>'表２１－２'!M63</f>
        <v>0</v>
      </c>
      <c r="N6" s="17">
        <f>'表２１－２'!Q63</f>
        <v>0</v>
      </c>
      <c r="O6" s="413"/>
      <c r="P6" s="259"/>
    </row>
    <row r="7" spans="1:16" ht="21" customHeight="1">
      <c r="A7" s="1102"/>
      <c r="B7" s="959"/>
      <c r="C7" s="50" t="s">
        <v>142</v>
      </c>
      <c r="D7" s="16">
        <f t="shared" si="1"/>
        <v>187367</v>
      </c>
      <c r="E7" s="16">
        <f aca="true" t="shared" si="2" ref="E7:E28">SUM(F7:H7)</f>
        <v>187367</v>
      </c>
      <c r="F7" s="16">
        <f>'表２１－２'!I27</f>
        <v>0</v>
      </c>
      <c r="G7" s="16">
        <f>'表２１－２'!M27</f>
        <v>187367</v>
      </c>
      <c r="H7" s="16">
        <f>'表２１－２'!Q27</f>
        <v>0</v>
      </c>
      <c r="I7" s="16">
        <f>'表２１－２'!U27</f>
        <v>0</v>
      </c>
      <c r="J7" s="16">
        <f>'表２１－２'!Y27</f>
        <v>0</v>
      </c>
      <c r="K7" s="16">
        <f>'表２１－２'!E64</f>
        <v>0</v>
      </c>
      <c r="L7" s="16">
        <f>'表２１－２'!I64</f>
        <v>154780</v>
      </c>
      <c r="M7" s="16">
        <f>'表２１－２'!M64</f>
        <v>32587</v>
      </c>
      <c r="N7" s="17">
        <f>'表２１－２'!Q64</f>
        <v>0</v>
      </c>
      <c r="O7" s="413"/>
      <c r="P7" s="259"/>
    </row>
    <row r="8" spans="1:16" ht="21" customHeight="1">
      <c r="A8" s="1102"/>
      <c r="B8" s="959"/>
      <c r="C8" s="50" t="s">
        <v>143</v>
      </c>
      <c r="D8" s="16">
        <f t="shared" si="1"/>
        <v>1512357</v>
      </c>
      <c r="E8" s="16">
        <f t="shared" si="2"/>
        <v>1512357</v>
      </c>
      <c r="F8" s="16">
        <f>'表２１－２'!I28</f>
        <v>2299</v>
      </c>
      <c r="G8" s="16">
        <f>'表２１－２'!M28</f>
        <v>1510058</v>
      </c>
      <c r="H8" s="16">
        <f>'表２１－２'!Q28</f>
        <v>0</v>
      </c>
      <c r="I8" s="16">
        <f>'表２１－２'!U28</f>
        <v>0</v>
      </c>
      <c r="J8" s="16">
        <f>'表２１－２'!Y28</f>
        <v>0</v>
      </c>
      <c r="K8" s="16">
        <f>'表２１－２'!E65</f>
        <v>0</v>
      </c>
      <c r="L8" s="16">
        <f>'表２１－２'!I65</f>
        <v>1311028</v>
      </c>
      <c r="M8" s="16">
        <f>'表２１－２'!M65</f>
        <v>195635</v>
      </c>
      <c r="N8" s="17">
        <f>'表２１－２'!Q65</f>
        <v>5694</v>
      </c>
      <c r="O8" s="413"/>
      <c r="P8" s="259"/>
    </row>
    <row r="9" spans="1:16" ht="21" customHeight="1">
      <c r="A9" s="1102"/>
      <c r="B9" s="959"/>
      <c r="C9" s="50" t="s">
        <v>144</v>
      </c>
      <c r="D9" s="16">
        <f t="shared" si="1"/>
        <v>0</v>
      </c>
      <c r="E9" s="16">
        <f t="shared" si="2"/>
        <v>0</v>
      </c>
      <c r="F9" s="16">
        <f>'表２１－２'!I29</f>
        <v>0</v>
      </c>
      <c r="G9" s="16">
        <f>'表２１－２'!M29</f>
        <v>0</v>
      </c>
      <c r="H9" s="16">
        <f>'表２１－２'!Q29</f>
        <v>0</v>
      </c>
      <c r="I9" s="16">
        <f>'表２１－２'!U29</f>
        <v>0</v>
      </c>
      <c r="J9" s="16">
        <f>'表２１－２'!Y29</f>
        <v>0</v>
      </c>
      <c r="K9" s="16">
        <f>'表２１－２'!E66</f>
        <v>0</v>
      </c>
      <c r="L9" s="16">
        <f>'表２１－２'!I66</f>
        <v>0</v>
      </c>
      <c r="M9" s="16">
        <f>'表２１－２'!M66</f>
        <v>0</v>
      </c>
      <c r="N9" s="17">
        <f>'表２１－２'!Q66</f>
        <v>0</v>
      </c>
      <c r="O9" s="413"/>
      <c r="P9" s="259"/>
    </row>
    <row r="10" spans="1:16" ht="21" customHeight="1">
      <c r="A10" s="1102"/>
      <c r="B10" s="959"/>
      <c r="C10" s="50" t="s">
        <v>145</v>
      </c>
      <c r="D10" s="16">
        <f t="shared" si="1"/>
        <v>37791</v>
      </c>
      <c r="E10" s="16">
        <f t="shared" si="2"/>
        <v>37791</v>
      </c>
      <c r="F10" s="16">
        <f>'表２１－２'!I30</f>
        <v>0</v>
      </c>
      <c r="G10" s="16">
        <f>'表２１－２'!M30</f>
        <v>37791</v>
      </c>
      <c r="H10" s="16">
        <f>'表２１－２'!Q30</f>
        <v>0</v>
      </c>
      <c r="I10" s="16">
        <f>'表２１－２'!U30</f>
        <v>0</v>
      </c>
      <c r="J10" s="16">
        <f>'表２１－２'!Y30</f>
        <v>0</v>
      </c>
      <c r="K10" s="16">
        <f>'表２１－２'!E67</f>
        <v>0</v>
      </c>
      <c r="L10" s="16">
        <f>'表２１－２'!I67</f>
        <v>37791</v>
      </c>
      <c r="M10" s="16">
        <f>'表２１－２'!M67</f>
        <v>0</v>
      </c>
      <c r="N10" s="17">
        <f>'表２１－２'!Q67</f>
        <v>0</v>
      </c>
      <c r="O10" s="413"/>
      <c r="P10" s="259"/>
    </row>
    <row r="11" spans="1:16" ht="21" customHeight="1">
      <c r="A11" s="1102"/>
      <c r="B11" s="959"/>
      <c r="C11" s="50" t="s">
        <v>146</v>
      </c>
      <c r="D11" s="16">
        <f t="shared" si="1"/>
        <v>0</v>
      </c>
      <c r="E11" s="16">
        <f t="shared" si="2"/>
        <v>0</v>
      </c>
      <c r="F11" s="16">
        <f>'表２１－２'!I31</f>
        <v>0</v>
      </c>
      <c r="G11" s="16">
        <f>'表２１－２'!M31</f>
        <v>0</v>
      </c>
      <c r="H11" s="16">
        <f>'表２１－２'!Q31</f>
        <v>0</v>
      </c>
      <c r="I11" s="16">
        <f>'表２１－２'!U31</f>
        <v>0</v>
      </c>
      <c r="J11" s="16">
        <f>'表２１－２'!Y31</f>
        <v>0</v>
      </c>
      <c r="K11" s="16">
        <f>'表２１－２'!E68</f>
        <v>0</v>
      </c>
      <c r="L11" s="16">
        <f>'表２１－２'!I68</f>
        <v>0</v>
      </c>
      <c r="M11" s="16">
        <f>'表２１－２'!M68</f>
        <v>0</v>
      </c>
      <c r="N11" s="17">
        <f>'表２１－２'!Q68</f>
        <v>0</v>
      </c>
      <c r="O11" s="413"/>
      <c r="P11" s="259"/>
    </row>
    <row r="12" spans="1:16" ht="21" customHeight="1">
      <c r="A12" s="1102"/>
      <c r="B12" s="959"/>
      <c r="C12" s="50" t="s">
        <v>147</v>
      </c>
      <c r="D12" s="16">
        <f t="shared" si="1"/>
        <v>0</v>
      </c>
      <c r="E12" s="16">
        <f t="shared" si="2"/>
        <v>0</v>
      </c>
      <c r="F12" s="16">
        <f>'表２１－２'!I32</f>
        <v>0</v>
      </c>
      <c r="G12" s="16">
        <f>'表２１－２'!M32</f>
        <v>0</v>
      </c>
      <c r="H12" s="16">
        <f>'表２１－２'!Q32</f>
        <v>0</v>
      </c>
      <c r="I12" s="16">
        <f>'表２１－２'!U32</f>
        <v>0</v>
      </c>
      <c r="J12" s="16">
        <f>'表２１－２'!Y32</f>
        <v>0</v>
      </c>
      <c r="K12" s="16">
        <f>'表２１－２'!E69</f>
        <v>0</v>
      </c>
      <c r="L12" s="16">
        <f>'表２１－２'!I69</f>
        <v>0</v>
      </c>
      <c r="M12" s="16">
        <f>'表２１－２'!M69</f>
        <v>0</v>
      </c>
      <c r="N12" s="17">
        <f>'表２１－２'!Q69</f>
        <v>0</v>
      </c>
      <c r="O12" s="413"/>
      <c r="P12" s="259"/>
    </row>
    <row r="13" spans="1:16" ht="21" customHeight="1">
      <c r="A13" s="1102"/>
      <c r="B13" s="959"/>
      <c r="C13" s="11" t="s">
        <v>148</v>
      </c>
      <c r="D13" s="16">
        <f t="shared" si="1"/>
        <v>156879</v>
      </c>
      <c r="E13" s="16">
        <f t="shared" si="2"/>
        <v>156879</v>
      </c>
      <c r="F13" s="16">
        <f>'表２１－２'!I33</f>
        <v>0</v>
      </c>
      <c r="G13" s="16">
        <f>'表２１－２'!M33</f>
        <v>156879</v>
      </c>
      <c r="H13" s="16">
        <f>'表２１－２'!Q33</f>
        <v>0</v>
      </c>
      <c r="I13" s="16">
        <f>'表２１－２'!U33</f>
        <v>0</v>
      </c>
      <c r="J13" s="16">
        <f>'表２１－２'!Y33</f>
        <v>0</v>
      </c>
      <c r="K13" s="16">
        <f>'表２１－２'!E70</f>
        <v>0</v>
      </c>
      <c r="L13" s="16">
        <f>'表２１－２'!I70</f>
        <v>156879</v>
      </c>
      <c r="M13" s="16">
        <f>'表２１－２'!M70</f>
        <v>0</v>
      </c>
      <c r="N13" s="17">
        <f>'表２１－２'!Q70</f>
        <v>0</v>
      </c>
      <c r="O13" s="413"/>
      <c r="P13" s="259"/>
    </row>
    <row r="14" spans="1:16" ht="25.5" customHeight="1">
      <c r="A14" s="1102"/>
      <c r="B14" s="959"/>
      <c r="C14" s="56" t="s">
        <v>149</v>
      </c>
      <c r="D14" s="16">
        <f t="shared" si="1"/>
        <v>61614</v>
      </c>
      <c r="E14" s="16">
        <f t="shared" si="2"/>
        <v>61614</v>
      </c>
      <c r="F14" s="16">
        <f>'表２１－２'!I34</f>
        <v>2012</v>
      </c>
      <c r="G14" s="16">
        <f>'表２１－２'!M34</f>
        <v>59602</v>
      </c>
      <c r="H14" s="16">
        <f>'表２１－２'!Q34</f>
        <v>0</v>
      </c>
      <c r="I14" s="16">
        <f>'表２１－２'!U34</f>
        <v>0</v>
      </c>
      <c r="J14" s="16">
        <f>'表２１－２'!Y34</f>
        <v>0</v>
      </c>
      <c r="K14" s="16">
        <f>'表２１－２'!E71</f>
        <v>0</v>
      </c>
      <c r="L14" s="16">
        <f>'表２１－２'!I71</f>
        <v>61614</v>
      </c>
      <c r="M14" s="16">
        <f>'表２１－２'!M71</f>
        <v>0</v>
      </c>
      <c r="N14" s="17">
        <f>'表２１－２'!Q71</f>
        <v>0</v>
      </c>
      <c r="O14" s="413"/>
      <c r="P14" s="259"/>
    </row>
    <row r="15" spans="1:16" ht="21" customHeight="1">
      <c r="A15" s="1102"/>
      <c r="B15" s="964"/>
      <c r="C15" s="50" t="s">
        <v>150</v>
      </c>
      <c r="D15" s="16">
        <f t="shared" si="1"/>
        <v>74346</v>
      </c>
      <c r="E15" s="16">
        <f t="shared" si="2"/>
        <v>74346</v>
      </c>
      <c r="F15" s="16">
        <f>'表２１－２'!I35</f>
        <v>29335</v>
      </c>
      <c r="G15" s="16">
        <f>'表２１－２'!M35</f>
        <v>45011</v>
      </c>
      <c r="H15" s="16">
        <f>'表２１－２'!Q35</f>
        <v>0</v>
      </c>
      <c r="I15" s="16">
        <f>'表２１－２'!U35</f>
        <v>0</v>
      </c>
      <c r="J15" s="16">
        <f>'表２１－２'!Y35</f>
        <v>0</v>
      </c>
      <c r="K15" s="16">
        <f>'表２１－２'!E72</f>
        <v>0</v>
      </c>
      <c r="L15" s="16">
        <f>'表２１－２'!I72</f>
        <v>74346</v>
      </c>
      <c r="M15" s="16">
        <f>'表２１－２'!M72</f>
        <v>0</v>
      </c>
      <c r="N15" s="17">
        <f>'表２１－２'!Q72</f>
        <v>0</v>
      </c>
      <c r="O15" s="413"/>
      <c r="P15" s="259"/>
    </row>
    <row r="16" spans="1:16" ht="21" customHeight="1" thickBot="1">
      <c r="A16" s="1103"/>
      <c r="B16" s="1093" t="s">
        <v>151</v>
      </c>
      <c r="C16" s="1095"/>
      <c r="D16" s="35">
        <f>E16+I16+J16+K16</f>
        <v>4255800</v>
      </c>
      <c r="E16" s="35">
        <f>SUM(F16:H16)</f>
        <v>4255800</v>
      </c>
      <c r="F16" s="35">
        <f>'表２１－２'!I37</f>
        <v>64370</v>
      </c>
      <c r="G16" s="35">
        <f>'表２１－２'!M37</f>
        <v>4191430</v>
      </c>
      <c r="H16" s="35">
        <f>'表２１－２'!Q37</f>
        <v>0</v>
      </c>
      <c r="I16" s="35">
        <f>'表２１－２'!U37</f>
        <v>0</v>
      </c>
      <c r="J16" s="35">
        <f>'表２１－２'!Y37</f>
        <v>0</v>
      </c>
      <c r="K16" s="177"/>
      <c r="L16" s="35">
        <f>'表２１－２'!I74</f>
        <v>4218860</v>
      </c>
      <c r="M16" s="35">
        <f>'表２１－２'!M74</f>
        <v>36326</v>
      </c>
      <c r="N16" s="409">
        <f>'表２１－２'!Q74</f>
        <v>614</v>
      </c>
      <c r="O16" s="38">
        <v>67778</v>
      </c>
      <c r="P16" s="259"/>
    </row>
    <row r="17" spans="1:16" ht="21" customHeight="1" thickTop="1">
      <c r="A17" s="1117" t="s">
        <v>152</v>
      </c>
      <c r="B17" s="57" t="s">
        <v>140</v>
      </c>
      <c r="C17" s="57"/>
      <c r="D17" s="49">
        <f>E17+I17+J17+K17</f>
        <v>15700996</v>
      </c>
      <c r="E17" s="49">
        <f t="shared" si="2"/>
        <v>14457328</v>
      </c>
      <c r="F17" s="399">
        <f>SUM(F18:F27)</f>
        <v>269769</v>
      </c>
      <c r="G17" s="49">
        <f aca="true" t="shared" si="3" ref="G17:N17">SUM(G18:G27)</f>
        <v>72933</v>
      </c>
      <c r="H17" s="49">
        <f t="shared" si="3"/>
        <v>14114626</v>
      </c>
      <c r="I17" s="49">
        <f t="shared" si="3"/>
        <v>1219360</v>
      </c>
      <c r="J17" s="49">
        <f t="shared" si="3"/>
        <v>120</v>
      </c>
      <c r="K17" s="49">
        <f t="shared" si="3"/>
        <v>24188</v>
      </c>
      <c r="L17" s="49">
        <f t="shared" si="3"/>
        <v>11336207</v>
      </c>
      <c r="M17" s="49">
        <f t="shared" si="3"/>
        <v>2906549</v>
      </c>
      <c r="N17" s="410">
        <f t="shared" si="3"/>
        <v>1458240</v>
      </c>
      <c r="O17" s="414"/>
      <c r="P17" s="263"/>
    </row>
    <row r="18" spans="1:16" ht="21" customHeight="1">
      <c r="A18" s="1096"/>
      <c r="B18" s="958"/>
      <c r="C18" s="50" t="s">
        <v>141</v>
      </c>
      <c r="D18" s="49">
        <f t="shared" si="1"/>
        <v>5204430</v>
      </c>
      <c r="E18" s="49">
        <f t="shared" si="2"/>
        <v>4658573</v>
      </c>
      <c r="F18" s="49">
        <f>'表２１－３'!I26</f>
        <v>3380</v>
      </c>
      <c r="G18" s="49">
        <f>'表２１－３'!M26</f>
        <v>6319</v>
      </c>
      <c r="H18" s="49">
        <f>'表２１－３'!Q26</f>
        <v>4648874</v>
      </c>
      <c r="I18" s="49">
        <f>'表２１－３'!U26</f>
        <v>530100</v>
      </c>
      <c r="J18" s="49">
        <f>'表２１－３'!Y26</f>
        <v>0</v>
      </c>
      <c r="K18" s="49">
        <f>'表２１－３'!E63</f>
        <v>15757</v>
      </c>
      <c r="L18" s="49">
        <f>'表２１－３'!I63</f>
        <v>3776224</v>
      </c>
      <c r="M18" s="49">
        <f>'表２１－３'!M63</f>
        <v>1069460</v>
      </c>
      <c r="N18" s="17">
        <f>'表２１－３'!Q63</f>
        <v>358746</v>
      </c>
      <c r="O18" s="415"/>
      <c r="P18" s="94"/>
    </row>
    <row r="19" spans="1:16" ht="21" customHeight="1">
      <c r="A19" s="1096"/>
      <c r="B19" s="959"/>
      <c r="C19" s="50" t="s">
        <v>142</v>
      </c>
      <c r="D19" s="49">
        <f t="shared" si="1"/>
        <v>2204699</v>
      </c>
      <c r="E19" s="49">
        <f t="shared" si="2"/>
        <v>2191979</v>
      </c>
      <c r="F19" s="49">
        <f>'表２１－３'!I27</f>
        <v>24165</v>
      </c>
      <c r="G19" s="49">
        <f>'表２１－３'!M27</f>
        <v>550</v>
      </c>
      <c r="H19" s="49">
        <f>'表２１－３'!Q27</f>
        <v>2167264</v>
      </c>
      <c r="I19" s="49">
        <f>'表２１－３'!U27</f>
        <v>12600</v>
      </c>
      <c r="J19" s="49">
        <f>'表２１－３'!Y27</f>
        <v>120</v>
      </c>
      <c r="K19" s="49">
        <f>'表２１－３'!E64</f>
        <v>0</v>
      </c>
      <c r="L19" s="49">
        <f>'表２１－３'!I64</f>
        <v>1688322</v>
      </c>
      <c r="M19" s="49">
        <f>'表２１－３'!M64</f>
        <v>372213</v>
      </c>
      <c r="N19" s="17">
        <f>'表２１－３'!Q64</f>
        <v>144164</v>
      </c>
      <c r="O19" s="415"/>
      <c r="P19" s="263"/>
    </row>
    <row r="20" spans="1:16" ht="21" customHeight="1">
      <c r="A20" s="1096"/>
      <c r="B20" s="959"/>
      <c r="C20" s="50" t="s">
        <v>143</v>
      </c>
      <c r="D20" s="49">
        <f t="shared" si="1"/>
        <v>1058139</v>
      </c>
      <c r="E20" s="49">
        <f t="shared" si="2"/>
        <v>1056956</v>
      </c>
      <c r="F20" s="49">
        <f>'表２１－３'!I28</f>
        <v>42812</v>
      </c>
      <c r="G20" s="49">
        <f>'表２１－３'!M28</f>
        <v>0</v>
      </c>
      <c r="H20" s="49">
        <f>'表２１－３'!Q28</f>
        <v>1014144</v>
      </c>
      <c r="I20" s="49">
        <f>'表２１－３'!U28</f>
        <v>0</v>
      </c>
      <c r="J20" s="49">
        <f>'表２１－３'!Y28</f>
        <v>0</v>
      </c>
      <c r="K20" s="49">
        <f>'表２１－３'!E65</f>
        <v>1183</v>
      </c>
      <c r="L20" s="49">
        <f>'表２１－３'!I65</f>
        <v>1013601</v>
      </c>
      <c r="M20" s="49">
        <f>'表２１－３'!M65</f>
        <v>36527</v>
      </c>
      <c r="N20" s="17">
        <f>'表２１－３'!Q65</f>
        <v>8011</v>
      </c>
      <c r="O20" s="415"/>
      <c r="P20" s="263"/>
    </row>
    <row r="21" spans="1:16" ht="21" customHeight="1">
      <c r="A21" s="1096"/>
      <c r="B21" s="959"/>
      <c r="C21" s="50" t="s">
        <v>144</v>
      </c>
      <c r="D21" s="49">
        <f t="shared" si="1"/>
        <v>3385138</v>
      </c>
      <c r="E21" s="49">
        <f t="shared" si="2"/>
        <v>2934278</v>
      </c>
      <c r="F21" s="49">
        <f>'表２１－３'!I29</f>
        <v>11910</v>
      </c>
      <c r="G21" s="49">
        <f>'表２１－３'!M29</f>
        <v>0</v>
      </c>
      <c r="H21" s="49">
        <f>'表２１－３'!Q29</f>
        <v>2922368</v>
      </c>
      <c r="I21" s="49">
        <f>'表２１－３'!U29</f>
        <v>450860</v>
      </c>
      <c r="J21" s="49">
        <f>'表２１－３'!Y29</f>
        <v>0</v>
      </c>
      <c r="K21" s="49">
        <f>'表２１－３'!E66</f>
        <v>0</v>
      </c>
      <c r="L21" s="49">
        <f>'表２１－３'!I66</f>
        <v>1719412</v>
      </c>
      <c r="M21" s="49">
        <f>'表２１－３'!M66</f>
        <v>827075</v>
      </c>
      <c r="N21" s="17">
        <f>'表２１－３'!Q66</f>
        <v>838651</v>
      </c>
      <c r="O21" s="415"/>
      <c r="P21" s="263"/>
    </row>
    <row r="22" spans="1:16" ht="21" customHeight="1">
      <c r="A22" s="1096"/>
      <c r="B22" s="959"/>
      <c r="C22" s="50" t="s">
        <v>145</v>
      </c>
      <c r="D22" s="49">
        <f t="shared" si="1"/>
        <v>252978</v>
      </c>
      <c r="E22" s="49">
        <f t="shared" si="2"/>
        <v>252978</v>
      </c>
      <c r="F22" s="49">
        <f>'表２１－３'!I30</f>
        <v>215</v>
      </c>
      <c r="G22" s="49">
        <f>'表２１－３'!M30</f>
        <v>0</v>
      </c>
      <c r="H22" s="49">
        <f>'表２１－３'!Q30</f>
        <v>252763</v>
      </c>
      <c r="I22" s="49">
        <f>'表２１－３'!U30</f>
        <v>0</v>
      </c>
      <c r="J22" s="49">
        <f>'表２１－３'!Y30</f>
        <v>0</v>
      </c>
      <c r="K22" s="49">
        <f>'表２１－３'!E67</f>
        <v>0</v>
      </c>
      <c r="L22" s="49">
        <f>'表２１－３'!I67</f>
        <v>241253</v>
      </c>
      <c r="M22" s="49">
        <f>'表２１－３'!M67</f>
        <v>3267</v>
      </c>
      <c r="N22" s="17">
        <f>'表２１－３'!Q67</f>
        <v>8458</v>
      </c>
      <c r="O22" s="415"/>
      <c r="P22" s="263"/>
    </row>
    <row r="23" spans="1:16" ht="21" customHeight="1">
      <c r="A23" s="1096"/>
      <c r="B23" s="959"/>
      <c r="C23" s="50" t="s">
        <v>146</v>
      </c>
      <c r="D23" s="49">
        <f t="shared" si="1"/>
        <v>0</v>
      </c>
      <c r="E23" s="49">
        <f t="shared" si="2"/>
        <v>0</v>
      </c>
      <c r="F23" s="49">
        <f>'表２１－３'!I31</f>
        <v>0</v>
      </c>
      <c r="G23" s="49">
        <f>'表２１－３'!M31</f>
        <v>0</v>
      </c>
      <c r="H23" s="49">
        <f>'表２１－３'!Q31</f>
        <v>0</v>
      </c>
      <c r="I23" s="49">
        <f>'表２１－３'!U31</f>
        <v>0</v>
      </c>
      <c r="J23" s="49">
        <f>'表２１－３'!Y31</f>
        <v>0</v>
      </c>
      <c r="K23" s="49">
        <f>'表２１－３'!E68</f>
        <v>0</v>
      </c>
      <c r="L23" s="49">
        <f>'表２１－３'!I68</f>
        <v>0</v>
      </c>
      <c r="M23" s="49">
        <f>'表２１－３'!M68</f>
        <v>0</v>
      </c>
      <c r="N23" s="17">
        <f>'表２１－３'!Q68</f>
        <v>0</v>
      </c>
      <c r="O23" s="415"/>
      <c r="P23" s="263"/>
    </row>
    <row r="24" spans="1:16" ht="21" customHeight="1">
      <c r="A24" s="1096"/>
      <c r="B24" s="959"/>
      <c r="C24" s="50" t="s">
        <v>147</v>
      </c>
      <c r="D24" s="49">
        <f t="shared" si="1"/>
        <v>1024810</v>
      </c>
      <c r="E24" s="49">
        <f t="shared" si="2"/>
        <v>900962</v>
      </c>
      <c r="F24" s="49">
        <f>'表２１－３'!I32</f>
        <v>0</v>
      </c>
      <c r="G24" s="49">
        <f>'表２１－３'!M32</f>
        <v>0</v>
      </c>
      <c r="H24" s="49">
        <f>'表２１－３'!Q32</f>
        <v>900962</v>
      </c>
      <c r="I24" s="49">
        <f>'表２１－３'!U32</f>
        <v>116600</v>
      </c>
      <c r="J24" s="49">
        <f>'表２１－３'!Y32</f>
        <v>0</v>
      </c>
      <c r="K24" s="49">
        <f>'表２１－３'!E69</f>
        <v>7248</v>
      </c>
      <c r="L24" s="49">
        <f>'表２１－３'!I69</f>
        <v>665413</v>
      </c>
      <c r="M24" s="49">
        <f>'表２１－３'!M69</f>
        <v>297586</v>
      </c>
      <c r="N24" s="17">
        <f>'表２１－３'!Q69</f>
        <v>61811</v>
      </c>
      <c r="O24" s="415"/>
      <c r="P24" s="263"/>
    </row>
    <row r="25" spans="1:16" ht="21" customHeight="1">
      <c r="A25" s="1096"/>
      <c r="B25" s="959"/>
      <c r="C25" s="11" t="s">
        <v>148</v>
      </c>
      <c r="D25" s="49">
        <f t="shared" si="1"/>
        <v>711070</v>
      </c>
      <c r="E25" s="49">
        <f t="shared" si="2"/>
        <v>652270</v>
      </c>
      <c r="F25" s="49">
        <f>'表２１－３'!I33</f>
        <v>484</v>
      </c>
      <c r="G25" s="49">
        <f>'表２１－３'!M33</f>
        <v>2744</v>
      </c>
      <c r="H25" s="49">
        <f>'表２１－３'!Q33</f>
        <v>649042</v>
      </c>
      <c r="I25" s="49">
        <f>'表２１－３'!U33</f>
        <v>58800</v>
      </c>
      <c r="J25" s="49">
        <f>'表２１－３'!Y33</f>
        <v>0</v>
      </c>
      <c r="K25" s="49">
        <f>'表２１－３'!E70</f>
        <v>0</v>
      </c>
      <c r="L25" s="49">
        <f>'表２１－３'!I70</f>
        <v>555047</v>
      </c>
      <c r="M25" s="49">
        <f>'表２１－３'!M70</f>
        <v>140698</v>
      </c>
      <c r="N25" s="17">
        <f>'表２１－３'!Q70</f>
        <v>15325</v>
      </c>
      <c r="O25" s="415"/>
      <c r="P25" s="263"/>
    </row>
    <row r="26" spans="1:16" ht="25.5" customHeight="1">
      <c r="A26" s="1096"/>
      <c r="B26" s="959"/>
      <c r="C26" s="56" t="s">
        <v>149</v>
      </c>
      <c r="D26" s="49">
        <f t="shared" si="1"/>
        <v>1156339</v>
      </c>
      <c r="E26" s="49">
        <f t="shared" si="2"/>
        <v>1150139</v>
      </c>
      <c r="F26" s="49">
        <f>'表２１－３'!I34</f>
        <v>72511</v>
      </c>
      <c r="G26" s="49">
        <f>'表２１－３'!M34</f>
        <v>56620</v>
      </c>
      <c r="H26" s="49">
        <f>'表２１－３'!Q34</f>
        <v>1021008</v>
      </c>
      <c r="I26" s="49">
        <f>'表２１－３'!U34</f>
        <v>6200</v>
      </c>
      <c r="J26" s="49">
        <f>'表２１－３'!Y34</f>
        <v>0</v>
      </c>
      <c r="K26" s="49">
        <f>'表２１－３'!E71</f>
        <v>0</v>
      </c>
      <c r="L26" s="49">
        <f>'表２１－３'!I71</f>
        <v>1092658</v>
      </c>
      <c r="M26" s="49">
        <f>'表２１－３'!M71</f>
        <v>63638</v>
      </c>
      <c r="N26" s="17">
        <f>'表２１－３'!Q71</f>
        <v>43</v>
      </c>
      <c r="O26" s="415"/>
      <c r="P26" s="263"/>
    </row>
    <row r="27" spans="1:16" ht="21" customHeight="1">
      <c r="A27" s="1096"/>
      <c r="B27" s="964"/>
      <c r="C27" s="59" t="s">
        <v>150</v>
      </c>
      <c r="D27" s="49">
        <f t="shared" si="1"/>
        <v>703393</v>
      </c>
      <c r="E27" s="49">
        <f t="shared" si="2"/>
        <v>659193</v>
      </c>
      <c r="F27" s="49">
        <f>'表２１－３'!I35</f>
        <v>114292</v>
      </c>
      <c r="G27" s="49">
        <f>'表２１－３'!M35</f>
        <v>6700</v>
      </c>
      <c r="H27" s="49">
        <f>'表２１－３'!Q35</f>
        <v>538201</v>
      </c>
      <c r="I27" s="49">
        <f>'表２１－３'!U35</f>
        <v>44200</v>
      </c>
      <c r="J27" s="49">
        <f>'表２１－３'!Y35</f>
        <v>0</v>
      </c>
      <c r="K27" s="49">
        <f>'表２１－３'!E72</f>
        <v>0</v>
      </c>
      <c r="L27" s="49">
        <f>'表２１－３'!I72</f>
        <v>584277</v>
      </c>
      <c r="M27" s="49">
        <f>'表２１－３'!M72</f>
        <v>96085</v>
      </c>
      <c r="N27" s="17">
        <f>'表２１－３'!Q72</f>
        <v>23031</v>
      </c>
      <c r="O27" s="415"/>
      <c r="P27" s="263"/>
    </row>
    <row r="28" spans="1:16" ht="21" customHeight="1" thickBot="1">
      <c r="A28" s="1097"/>
      <c r="B28" s="1118" t="s">
        <v>151</v>
      </c>
      <c r="C28" s="1118"/>
      <c r="D28" s="60">
        <f>E28+I28+J28+K28</f>
        <v>7711443</v>
      </c>
      <c r="E28" s="60">
        <f t="shared" si="2"/>
        <v>7583443</v>
      </c>
      <c r="F28" s="60">
        <f>'表２１－３'!I37</f>
        <v>38971</v>
      </c>
      <c r="G28" s="60">
        <f>'表２１－３'!M37</f>
        <v>38559</v>
      </c>
      <c r="H28" s="60">
        <f>'表２１－３'!Q37</f>
        <v>7505913</v>
      </c>
      <c r="I28" s="60">
        <f>'表２１－３'!U37</f>
        <v>127900</v>
      </c>
      <c r="J28" s="60">
        <f>'表２１－３'!Y37</f>
        <v>100</v>
      </c>
      <c r="K28" s="122"/>
      <c r="L28" s="60">
        <f>'表２１－３'!I74</f>
        <v>7548778</v>
      </c>
      <c r="M28" s="60">
        <f>'表２１－３'!M74</f>
        <v>144246</v>
      </c>
      <c r="N28" s="411">
        <f>'表２１－３'!Q74</f>
        <v>18419</v>
      </c>
      <c r="O28" s="61">
        <v>3239</v>
      </c>
      <c r="P28" s="263"/>
    </row>
  </sheetData>
  <sheetProtection/>
  <mergeCells count="16">
    <mergeCell ref="O3:O4"/>
    <mergeCell ref="L3:N3"/>
    <mergeCell ref="A1:H1"/>
    <mergeCell ref="A3:C4"/>
    <mergeCell ref="D3:D4"/>
    <mergeCell ref="E3:H3"/>
    <mergeCell ref="J3:J4"/>
    <mergeCell ref="K3:K4"/>
    <mergeCell ref="I3:I4"/>
    <mergeCell ref="A17:A28"/>
    <mergeCell ref="B18:B27"/>
    <mergeCell ref="B28:C28"/>
    <mergeCell ref="A5:A16"/>
    <mergeCell ref="B5:C5"/>
    <mergeCell ref="B6:B15"/>
    <mergeCell ref="B16:C16"/>
  </mergeCells>
  <printOptions/>
  <pageMargins left="0.75" right="0.75" top="1" bottom="0.46" header="0.512" footer="0.512"/>
  <pageSetup fitToHeight="1" fitToWidth="1" horizontalDpi="300" verticalDpi="300" orientation="landscape" paperSize="9" scale="81" r:id="rId1"/>
</worksheet>
</file>

<file path=xl/worksheets/sheet19.xml><?xml version="1.0" encoding="utf-8"?>
<worksheet xmlns="http://schemas.openxmlformats.org/spreadsheetml/2006/main" xmlns:r="http://schemas.openxmlformats.org/officeDocument/2006/relationships">
  <sheetPr codeName="Sheet19"/>
  <dimension ref="A1:O29"/>
  <sheetViews>
    <sheetView zoomScalePageLayoutView="0" workbookViewId="0" topLeftCell="A1">
      <selection activeCell="A1" sqref="A1"/>
    </sheetView>
  </sheetViews>
  <sheetFormatPr defaultColWidth="9.00390625" defaultRowHeight="13.5"/>
  <cols>
    <col min="1" max="1" width="3.625" style="7" customWidth="1"/>
    <col min="2" max="2" width="2.375" style="7" customWidth="1"/>
    <col min="3" max="3" width="24.375" style="7" customWidth="1"/>
    <col min="4" max="4" width="11.625" style="7" customWidth="1"/>
    <col min="5" max="8" width="9.875" style="7" customWidth="1"/>
    <col min="9" max="9" width="9.25390625" style="7" customWidth="1"/>
    <col min="10" max="11" width="9.75390625" style="7" customWidth="1"/>
    <col min="12" max="12" width="12.125" style="7" customWidth="1"/>
    <col min="13" max="14" width="11.375" style="7" customWidth="1"/>
    <col min="15" max="15" width="9.75390625" style="7" customWidth="1"/>
    <col min="16" max="16384" width="9.00390625" style="7" customWidth="1"/>
  </cols>
  <sheetData>
    <row r="1" spans="1:8" ht="21" customHeight="1">
      <c r="A1" s="1" t="s">
        <v>308</v>
      </c>
      <c r="B1" s="1"/>
      <c r="C1" s="1"/>
      <c r="D1" s="1"/>
      <c r="E1" s="1"/>
      <c r="F1" s="1"/>
      <c r="G1" s="1"/>
      <c r="H1" s="1"/>
    </row>
    <row r="2" spans="11:15" ht="21" customHeight="1" thickBot="1">
      <c r="K2" s="22" t="s">
        <v>153</v>
      </c>
      <c r="L2" s="1122">
        <f>'表５'!Q31</f>
        <v>1356343</v>
      </c>
      <c r="M2" s="1122"/>
      <c r="N2" s="22"/>
      <c r="O2" s="22" t="s">
        <v>304</v>
      </c>
    </row>
    <row r="3" spans="1:15" ht="24.75" customHeight="1">
      <c r="A3" s="1111" t="s">
        <v>131</v>
      </c>
      <c r="B3" s="1112"/>
      <c r="C3" s="1126"/>
      <c r="D3" s="1128" t="s">
        <v>132</v>
      </c>
      <c r="E3" s="1048" t="s">
        <v>133</v>
      </c>
      <c r="F3" s="1049"/>
      <c r="G3" s="1049"/>
      <c r="H3" s="1049"/>
      <c r="I3" s="1053" t="s">
        <v>107</v>
      </c>
      <c r="J3" s="1081" t="s">
        <v>265</v>
      </c>
      <c r="K3" s="1081" t="s">
        <v>283</v>
      </c>
      <c r="L3" s="1048" t="s">
        <v>134</v>
      </c>
      <c r="M3" s="1049"/>
      <c r="N3" s="1049"/>
      <c r="O3" s="1108" t="s">
        <v>305</v>
      </c>
    </row>
    <row r="4" spans="1:15" ht="24.75" customHeight="1" thickBot="1">
      <c r="A4" s="1114"/>
      <c r="B4" s="1115"/>
      <c r="C4" s="1127"/>
      <c r="D4" s="1129"/>
      <c r="E4" s="54" t="s">
        <v>135</v>
      </c>
      <c r="F4" s="183" t="s">
        <v>268</v>
      </c>
      <c r="G4" s="183" t="s">
        <v>263</v>
      </c>
      <c r="H4" s="184" t="s">
        <v>269</v>
      </c>
      <c r="I4" s="1107"/>
      <c r="J4" s="1120"/>
      <c r="K4" s="1121"/>
      <c r="L4" s="47" t="s">
        <v>136</v>
      </c>
      <c r="M4" s="55" t="s">
        <v>137</v>
      </c>
      <c r="N4" s="55" t="s">
        <v>138</v>
      </c>
      <c r="O4" s="1119"/>
    </row>
    <row r="5" spans="1:15" ht="21" customHeight="1">
      <c r="A5" s="1101" t="s">
        <v>139</v>
      </c>
      <c r="B5" s="1104" t="s">
        <v>140</v>
      </c>
      <c r="C5" s="1124"/>
      <c r="D5" s="245">
        <f>ROUND('表１８'!D5*1000/$L$2,0)</f>
        <v>1497</v>
      </c>
      <c r="E5" s="237">
        <f>ROUND('表１８'!E5*1000/$L$2,0)</f>
        <v>1497</v>
      </c>
      <c r="F5" s="237">
        <f>ROUND('表１８'!F5*1000/$L$2,0)</f>
        <v>25</v>
      </c>
      <c r="G5" s="237">
        <f>ROUND('表１８'!G5*1000/$L$2,0)</f>
        <v>1472</v>
      </c>
      <c r="H5" s="237">
        <f>ROUND('表１８'!H5*1000/$L$2,0)</f>
        <v>0</v>
      </c>
      <c r="I5" s="237">
        <f>ROUND('表１８'!I5*1000/$L$2,0)</f>
        <v>0</v>
      </c>
      <c r="J5" s="237">
        <f>ROUND('表１８'!J5*1000/$L$2,0)</f>
        <v>0</v>
      </c>
      <c r="K5" s="237">
        <f>ROUND('表１８'!K5*1000/$L$2,0)</f>
        <v>0</v>
      </c>
      <c r="L5" s="237">
        <f>ROUND('表１８'!L5*1000/$L$2,0)</f>
        <v>1324</v>
      </c>
      <c r="M5" s="237">
        <f>ROUND('表１８'!M5*1000/$L$2,0)</f>
        <v>168</v>
      </c>
      <c r="N5" s="408">
        <f>ROUND('表１８'!N5*1000/$L$2,0)</f>
        <v>4</v>
      </c>
      <c r="O5" s="412"/>
    </row>
    <row r="6" spans="1:15" ht="21" customHeight="1">
      <c r="A6" s="1102"/>
      <c r="B6" s="958"/>
      <c r="C6" s="151" t="s">
        <v>141</v>
      </c>
      <c r="D6" s="246">
        <f>ROUND('表１８'!D6*1000/$L$2,0)</f>
        <v>0</v>
      </c>
      <c r="E6" s="16">
        <f>ROUND('表１８'!E6*1000/$L$2,0)</f>
        <v>0</v>
      </c>
      <c r="F6" s="16">
        <f>ROUND('表１８'!F6*1000/$L$2,0)</f>
        <v>0</v>
      </c>
      <c r="G6" s="16">
        <f>ROUND('表１８'!G6*1000/$L$2,0)</f>
        <v>0</v>
      </c>
      <c r="H6" s="16">
        <f>ROUND('表１８'!H6*1000/$L$2,0)</f>
        <v>0</v>
      </c>
      <c r="I6" s="16">
        <f>ROUND('表１８'!I6*1000/$L$2,0)</f>
        <v>0</v>
      </c>
      <c r="J6" s="16">
        <f>ROUND('表１８'!J6*1000/$L$2,0)</f>
        <v>0</v>
      </c>
      <c r="K6" s="16">
        <f>ROUND('表１８'!K6*1000/$L$2,0)</f>
        <v>0</v>
      </c>
      <c r="L6" s="16">
        <f>ROUND('表１８'!L6*1000/$L$2,0)</f>
        <v>0</v>
      </c>
      <c r="M6" s="16">
        <f>ROUND('表１８'!M6*1000/$L$2,0)</f>
        <v>0</v>
      </c>
      <c r="N6" s="17">
        <f>ROUND('表１８'!N6*1000/$L$2,0)</f>
        <v>0</v>
      </c>
      <c r="O6" s="413"/>
    </row>
    <row r="7" spans="1:15" ht="21" customHeight="1">
      <c r="A7" s="1102"/>
      <c r="B7" s="959"/>
      <c r="C7" s="151" t="s">
        <v>142</v>
      </c>
      <c r="D7" s="246">
        <f>ROUND('表１８'!D7*1000/$L$2,0)</f>
        <v>138</v>
      </c>
      <c r="E7" s="16">
        <f>ROUND('表１８'!E7*1000/$L$2,0)</f>
        <v>138</v>
      </c>
      <c r="F7" s="16">
        <f>ROUND('表１８'!F7*1000/$L$2,0)</f>
        <v>0</v>
      </c>
      <c r="G7" s="16">
        <f>ROUND('表１８'!G7*1000/$L$2,0)</f>
        <v>138</v>
      </c>
      <c r="H7" s="16">
        <f>ROUND('表１８'!H7*1000/$L$2,0)</f>
        <v>0</v>
      </c>
      <c r="I7" s="16">
        <f>ROUND('表１８'!I7*1000/$L$2,0)</f>
        <v>0</v>
      </c>
      <c r="J7" s="16">
        <f>ROUND('表１８'!J7*1000/$L$2,0)</f>
        <v>0</v>
      </c>
      <c r="K7" s="16">
        <f>ROUND('表１８'!K7*1000/$L$2,0)</f>
        <v>0</v>
      </c>
      <c r="L7" s="16">
        <f>ROUND('表１８'!L7*1000/$L$2,0)</f>
        <v>114</v>
      </c>
      <c r="M7" s="16">
        <f>ROUND('表１８'!M7*1000/$L$2,0)</f>
        <v>24</v>
      </c>
      <c r="N7" s="17">
        <f>ROUND('表１８'!N7*1000/$L$2,0)</f>
        <v>0</v>
      </c>
      <c r="O7" s="413"/>
    </row>
    <row r="8" spans="1:15" ht="21" customHeight="1">
      <c r="A8" s="1102"/>
      <c r="B8" s="959"/>
      <c r="C8" s="151" t="s">
        <v>143</v>
      </c>
      <c r="D8" s="246">
        <f>ROUND('表１８'!D8*1000/$L$2,0)</f>
        <v>1115</v>
      </c>
      <c r="E8" s="16">
        <f>ROUND('表１８'!E8*1000/$L$2,0)</f>
        <v>1115</v>
      </c>
      <c r="F8" s="16">
        <f>ROUND('表１８'!F8*1000/$L$2,0)</f>
        <v>2</v>
      </c>
      <c r="G8" s="16">
        <f>ROUND('表１８'!G8*1000/$L$2,0)</f>
        <v>1113</v>
      </c>
      <c r="H8" s="16">
        <f>ROUND('表１８'!H8*1000/$L$2,0)</f>
        <v>0</v>
      </c>
      <c r="I8" s="16">
        <f>ROUND('表１８'!I8*1000/$L$2,0)</f>
        <v>0</v>
      </c>
      <c r="J8" s="16">
        <f>ROUND('表１８'!J8*1000/$L$2,0)</f>
        <v>0</v>
      </c>
      <c r="K8" s="16">
        <f>ROUND('表１８'!K8*1000/$L$2,0)</f>
        <v>0</v>
      </c>
      <c r="L8" s="16">
        <f>ROUND('表１８'!L8*1000/$L$2,0)</f>
        <v>967</v>
      </c>
      <c r="M8" s="16">
        <f>ROUND('表１８'!M8*1000/$L$2,0)</f>
        <v>144</v>
      </c>
      <c r="N8" s="17">
        <f>ROUND('表１８'!N8*1000/$L$2,0)</f>
        <v>4</v>
      </c>
      <c r="O8" s="413"/>
    </row>
    <row r="9" spans="1:15" ht="21" customHeight="1">
      <c r="A9" s="1102"/>
      <c r="B9" s="959"/>
      <c r="C9" s="151" t="s">
        <v>144</v>
      </c>
      <c r="D9" s="246">
        <f>ROUND('表１８'!D9*1000/$L$2,0)</f>
        <v>0</v>
      </c>
      <c r="E9" s="16">
        <f>ROUND('表１８'!E9*1000/$L$2,0)</f>
        <v>0</v>
      </c>
      <c r="F9" s="16">
        <f>ROUND('表１８'!F9*1000/$L$2,0)</f>
        <v>0</v>
      </c>
      <c r="G9" s="16">
        <f>ROUND('表１８'!G9*1000/$L$2,0)</f>
        <v>0</v>
      </c>
      <c r="H9" s="16">
        <f>ROUND('表１８'!H9*1000/$L$2,0)</f>
        <v>0</v>
      </c>
      <c r="I9" s="16">
        <f>ROUND('表１８'!I9*1000/$L$2,0)</f>
        <v>0</v>
      </c>
      <c r="J9" s="16">
        <f>ROUND('表１８'!J9*1000/$L$2,0)</f>
        <v>0</v>
      </c>
      <c r="K9" s="16">
        <f>ROUND('表１８'!K9*1000/$L$2,0)</f>
        <v>0</v>
      </c>
      <c r="L9" s="16">
        <f>ROUND('表１８'!L9*1000/$L$2,0)</f>
        <v>0</v>
      </c>
      <c r="M9" s="16">
        <f>ROUND('表１８'!M9*1000/$L$2,0)</f>
        <v>0</v>
      </c>
      <c r="N9" s="17">
        <f>ROUND('表１８'!N9*1000/$L$2,0)</f>
        <v>0</v>
      </c>
      <c r="O9" s="413"/>
    </row>
    <row r="10" spans="1:15" ht="21" customHeight="1">
      <c r="A10" s="1102"/>
      <c r="B10" s="959"/>
      <c r="C10" s="151" t="s">
        <v>145</v>
      </c>
      <c r="D10" s="246">
        <f>ROUND('表１８'!D10*1000/$L$2,0)</f>
        <v>28</v>
      </c>
      <c r="E10" s="16">
        <f>ROUND('表１８'!E10*1000/$L$2,0)</f>
        <v>28</v>
      </c>
      <c r="F10" s="16">
        <f>ROUND('表１８'!F10*1000/$L$2,0)</f>
        <v>0</v>
      </c>
      <c r="G10" s="16">
        <f>ROUND('表１８'!G10*1000/$L$2,0)</f>
        <v>28</v>
      </c>
      <c r="H10" s="16">
        <f>ROUND('表１８'!H10*1000/$L$2,0)</f>
        <v>0</v>
      </c>
      <c r="I10" s="16">
        <f>ROUND('表１８'!I10*1000/$L$2,0)</f>
        <v>0</v>
      </c>
      <c r="J10" s="16">
        <f>ROUND('表１８'!J10*1000/$L$2,0)</f>
        <v>0</v>
      </c>
      <c r="K10" s="16">
        <f>ROUND('表１８'!K10*1000/$L$2,0)</f>
        <v>0</v>
      </c>
      <c r="L10" s="16">
        <f>ROUND('表１８'!L10*1000/$L$2,0)</f>
        <v>28</v>
      </c>
      <c r="M10" s="16">
        <f>ROUND('表１８'!M10*1000/$L$2,0)</f>
        <v>0</v>
      </c>
      <c r="N10" s="17">
        <f>ROUND('表１８'!N10*1000/$L$2,0)</f>
        <v>0</v>
      </c>
      <c r="O10" s="413"/>
    </row>
    <row r="11" spans="1:15" ht="21" customHeight="1">
      <c r="A11" s="1102"/>
      <c r="B11" s="959"/>
      <c r="C11" s="151" t="s">
        <v>146</v>
      </c>
      <c r="D11" s="246">
        <f>ROUND('表１８'!D11*1000/$L$2,0)</f>
        <v>0</v>
      </c>
      <c r="E11" s="16">
        <f>ROUND('表１８'!E11*1000/$L$2,0)</f>
        <v>0</v>
      </c>
      <c r="F11" s="16">
        <f>ROUND('表１８'!F11*1000/$L$2,0)</f>
        <v>0</v>
      </c>
      <c r="G11" s="16">
        <f>ROUND('表１８'!G11*1000/$L$2,0)</f>
        <v>0</v>
      </c>
      <c r="H11" s="16">
        <f>ROUND('表１８'!H11*1000/$L$2,0)</f>
        <v>0</v>
      </c>
      <c r="I11" s="16">
        <f>ROUND('表１８'!I11*1000/$L$2,0)</f>
        <v>0</v>
      </c>
      <c r="J11" s="16">
        <f>ROUND('表１８'!J11*1000/$L$2,0)</f>
        <v>0</v>
      </c>
      <c r="K11" s="16">
        <f>ROUND('表１８'!K11*1000/$L$2,0)</f>
        <v>0</v>
      </c>
      <c r="L11" s="16">
        <f>ROUND('表１８'!L11*1000/$L$2,0)</f>
        <v>0</v>
      </c>
      <c r="M11" s="16">
        <f>ROUND('表１８'!M11*1000/$L$2,0)</f>
        <v>0</v>
      </c>
      <c r="N11" s="17">
        <f>ROUND('表１８'!N11*1000/$L$2,0)</f>
        <v>0</v>
      </c>
      <c r="O11" s="413"/>
    </row>
    <row r="12" spans="1:15" ht="21" customHeight="1">
      <c r="A12" s="1102"/>
      <c r="B12" s="959"/>
      <c r="C12" s="151" t="s">
        <v>147</v>
      </c>
      <c r="D12" s="246">
        <f>ROUND('表１８'!D12*1000/$L$2,0)</f>
        <v>0</v>
      </c>
      <c r="E12" s="16">
        <f>ROUND('表１８'!E12*1000/$L$2,0)</f>
        <v>0</v>
      </c>
      <c r="F12" s="16">
        <f>ROUND('表１８'!F12*1000/$L$2,0)</f>
        <v>0</v>
      </c>
      <c r="G12" s="16">
        <f>ROUND('表１８'!G12*1000/$L$2,0)</f>
        <v>0</v>
      </c>
      <c r="H12" s="16">
        <f>ROUND('表１８'!H12*1000/$L$2,0)</f>
        <v>0</v>
      </c>
      <c r="I12" s="16">
        <f>ROUND('表１８'!I12*1000/$L$2,0)</f>
        <v>0</v>
      </c>
      <c r="J12" s="16">
        <f>ROUND('表１８'!J12*1000/$L$2,0)</f>
        <v>0</v>
      </c>
      <c r="K12" s="16">
        <f>ROUND('表１８'!K12*1000/$L$2,0)</f>
        <v>0</v>
      </c>
      <c r="L12" s="16">
        <f>ROUND('表１８'!L12*1000/$L$2,0)</f>
        <v>0</v>
      </c>
      <c r="M12" s="16">
        <f>ROUND('表１８'!M12*1000/$L$2,0)</f>
        <v>0</v>
      </c>
      <c r="N12" s="17">
        <f>ROUND('表１８'!N12*1000/$L$2,0)</f>
        <v>0</v>
      </c>
      <c r="O12" s="413"/>
    </row>
    <row r="13" spans="1:15" ht="21" customHeight="1">
      <c r="A13" s="1102"/>
      <c r="B13" s="959"/>
      <c r="C13" s="140" t="s">
        <v>148</v>
      </c>
      <c r="D13" s="246">
        <f>ROUND('表１８'!D13*1000/$L$2,0)</f>
        <v>116</v>
      </c>
      <c r="E13" s="16">
        <f>ROUND('表１８'!E13*1000/$L$2,0)</f>
        <v>116</v>
      </c>
      <c r="F13" s="16">
        <f>ROUND('表１８'!F13*1000/$L$2,0)</f>
        <v>0</v>
      </c>
      <c r="G13" s="16">
        <f>ROUND('表１８'!G13*1000/$L$2,0)</f>
        <v>116</v>
      </c>
      <c r="H13" s="16">
        <f>ROUND('表１８'!H13*1000/$L$2,0)</f>
        <v>0</v>
      </c>
      <c r="I13" s="16">
        <f>ROUND('表１８'!I13*1000/$L$2,0)</f>
        <v>0</v>
      </c>
      <c r="J13" s="16">
        <f>ROUND('表１８'!J13*1000/$L$2,0)</f>
        <v>0</v>
      </c>
      <c r="K13" s="16">
        <f>ROUND('表１８'!K13*1000/$L$2,0)</f>
        <v>0</v>
      </c>
      <c r="L13" s="16">
        <f>ROUND('表１８'!L13*1000/$L$2,0)</f>
        <v>116</v>
      </c>
      <c r="M13" s="16">
        <f>ROUND('表１８'!M13*1000/$L$2,0)</f>
        <v>0</v>
      </c>
      <c r="N13" s="17">
        <f>ROUND('表１８'!N13*1000/$L$2,0)</f>
        <v>0</v>
      </c>
      <c r="O13" s="413"/>
    </row>
    <row r="14" spans="1:15" ht="25.5" customHeight="1">
      <c r="A14" s="1102"/>
      <c r="B14" s="959"/>
      <c r="C14" s="152" t="s">
        <v>149</v>
      </c>
      <c r="D14" s="246">
        <f>ROUND('表１８'!D14*1000/$L$2,0)</f>
        <v>45</v>
      </c>
      <c r="E14" s="16">
        <f>ROUND('表１８'!E14*1000/$L$2,0)</f>
        <v>45</v>
      </c>
      <c r="F14" s="16">
        <f>ROUND('表１８'!F14*1000/$L$2,0)</f>
        <v>1</v>
      </c>
      <c r="G14" s="16">
        <f>ROUND('表１８'!G14*1000/$L$2,0)</f>
        <v>44</v>
      </c>
      <c r="H14" s="16">
        <f>ROUND('表１８'!H14*1000/$L$2,0)</f>
        <v>0</v>
      </c>
      <c r="I14" s="16">
        <f>ROUND('表１８'!I14*1000/$L$2,0)</f>
        <v>0</v>
      </c>
      <c r="J14" s="16">
        <f>ROUND('表１８'!J14*1000/$L$2,0)</f>
        <v>0</v>
      </c>
      <c r="K14" s="16">
        <f>ROUND('表１８'!K14*1000/$L$2,0)</f>
        <v>0</v>
      </c>
      <c r="L14" s="16">
        <f>ROUND('表１８'!L14*1000/$L$2,0)</f>
        <v>45</v>
      </c>
      <c r="M14" s="16">
        <f>ROUND('表１８'!M14*1000/$L$2,0)</f>
        <v>0</v>
      </c>
      <c r="N14" s="17">
        <f>ROUND('表１８'!N14*1000/$L$2,0)</f>
        <v>0</v>
      </c>
      <c r="O14" s="413"/>
    </row>
    <row r="15" spans="1:15" ht="21" customHeight="1">
      <c r="A15" s="1102"/>
      <c r="B15" s="964"/>
      <c r="C15" s="151" t="s">
        <v>150</v>
      </c>
      <c r="D15" s="246">
        <f>ROUND('表１８'!D15*1000/$L$2,0)</f>
        <v>55</v>
      </c>
      <c r="E15" s="16">
        <f>ROUND('表１８'!E15*1000/$L$2,0)</f>
        <v>55</v>
      </c>
      <c r="F15" s="16">
        <f>ROUND('表１８'!F15*1000/$L$2,0)</f>
        <v>22</v>
      </c>
      <c r="G15" s="16">
        <f>ROUND('表１８'!G15*1000/$L$2,0)</f>
        <v>33</v>
      </c>
      <c r="H15" s="16">
        <f>ROUND('表１８'!H15*1000/$L$2,0)</f>
        <v>0</v>
      </c>
      <c r="I15" s="16">
        <f>ROUND('表１８'!I15*1000/$L$2,0)</f>
        <v>0</v>
      </c>
      <c r="J15" s="16">
        <f>ROUND('表１８'!J15*1000/$L$2,0)</f>
        <v>0</v>
      </c>
      <c r="K15" s="16">
        <f>ROUND('表１８'!K15*1000/$L$2,0)</f>
        <v>0</v>
      </c>
      <c r="L15" s="16">
        <f>ROUND('表１８'!L15*1000/$L$2,0)</f>
        <v>55</v>
      </c>
      <c r="M15" s="16">
        <f>ROUND('表１８'!M15*1000/$L$2,0)</f>
        <v>0</v>
      </c>
      <c r="N15" s="17">
        <f>ROUND('表１８'!N15*1000/$L$2,0)</f>
        <v>0</v>
      </c>
      <c r="O15" s="413"/>
    </row>
    <row r="16" spans="1:15" ht="21" customHeight="1" thickBot="1">
      <c r="A16" s="1103"/>
      <c r="B16" s="1093" t="s">
        <v>151</v>
      </c>
      <c r="C16" s="1125"/>
      <c r="D16" s="247">
        <f>ROUND('表１８'!D16*1000/$L$2,0)</f>
        <v>3138</v>
      </c>
      <c r="E16" s="35">
        <f>ROUND('表１８'!E16*1000/$L$2,0)</f>
        <v>3138</v>
      </c>
      <c r="F16" s="35">
        <f>ROUND('表１８'!F16*1000/$L$2,0)</f>
        <v>47</v>
      </c>
      <c r="G16" s="35">
        <f>ROUND('表１８'!G16*1000/$L$2,0)</f>
        <v>3090</v>
      </c>
      <c r="H16" s="35">
        <f>ROUND('表１８'!H16*1000/$L$2,0)</f>
        <v>0</v>
      </c>
      <c r="I16" s="35">
        <f>ROUND('表１８'!I16*1000/$L$2,0)</f>
        <v>0</v>
      </c>
      <c r="J16" s="35">
        <f>ROUND('表１８'!J16*1000/$L$2,0)</f>
        <v>0</v>
      </c>
      <c r="K16" s="35">
        <f>ROUND('表１８'!K16*1000/$L$2,0)</f>
        <v>0</v>
      </c>
      <c r="L16" s="35">
        <f>ROUND('表１８'!L16*1000/$L$2,0)</f>
        <v>3110</v>
      </c>
      <c r="M16" s="35">
        <f>ROUND('表１８'!M16*1000/$L$2,0)</f>
        <v>27</v>
      </c>
      <c r="N16" s="409">
        <f>ROUND('表１８'!N16*1000/$L$2,0)</f>
        <v>0</v>
      </c>
      <c r="O16" s="38">
        <f>ROUND('表１８'!O16*1000/$L$2,0)</f>
        <v>50</v>
      </c>
    </row>
    <row r="17" spans="1:15" ht="21" customHeight="1" thickTop="1">
      <c r="A17" s="1117" t="s">
        <v>152</v>
      </c>
      <c r="B17" s="57" t="s">
        <v>140</v>
      </c>
      <c r="C17" s="153"/>
      <c r="D17" s="245">
        <f>ROUND('表１８'!D17*1000/$L$2,0)</f>
        <v>11576</v>
      </c>
      <c r="E17" s="49">
        <f>ROUND('表１８'!E17*1000/$L$2,0)</f>
        <v>10659</v>
      </c>
      <c r="F17" s="49">
        <f>ROUND('表１８'!F17*1000/$L$2,0)</f>
        <v>199</v>
      </c>
      <c r="G17" s="49">
        <f>ROUND('表１８'!G17*1000/$L$2,0)</f>
        <v>54</v>
      </c>
      <c r="H17" s="49">
        <f>ROUND('表１８'!H17*1000/$L$2,0)</f>
        <v>10406</v>
      </c>
      <c r="I17" s="49">
        <f>ROUND('表１８'!I17*1000/$L$2,0)</f>
        <v>899</v>
      </c>
      <c r="J17" s="49">
        <f>ROUND('表１８'!J17*1000/$L$2,0)</f>
        <v>0</v>
      </c>
      <c r="K17" s="49">
        <f>ROUND('表１８'!K17*1000/$L$2,0)</f>
        <v>18</v>
      </c>
      <c r="L17" s="49">
        <f>ROUND('表１８'!L17*1000/$L$2,0)</f>
        <v>8358</v>
      </c>
      <c r="M17" s="49">
        <f>ROUND('表１８'!M17*1000/$L$2,0)</f>
        <v>2143</v>
      </c>
      <c r="N17" s="416">
        <f>ROUND('表１８'!N17*1000/$L$2,0)</f>
        <v>1075</v>
      </c>
      <c r="O17" s="414"/>
    </row>
    <row r="18" spans="1:15" ht="21" customHeight="1">
      <c r="A18" s="1096"/>
      <c r="B18" s="958"/>
      <c r="C18" s="151" t="s">
        <v>141</v>
      </c>
      <c r="D18" s="245">
        <f>ROUND('表１８'!D18*1000/$L$2,0)</f>
        <v>3837</v>
      </c>
      <c r="E18" s="49">
        <f>ROUND('表１８'!E18*1000/$L$2,0)</f>
        <v>3435</v>
      </c>
      <c r="F18" s="49">
        <f>ROUND('表１８'!F18*1000/$L$2,0)</f>
        <v>2</v>
      </c>
      <c r="G18" s="49">
        <f>ROUND('表１８'!G18*1000/$L$2,0)</f>
        <v>5</v>
      </c>
      <c r="H18" s="49">
        <f>ROUND('表１８'!H18*1000/$L$2,0)</f>
        <v>3428</v>
      </c>
      <c r="I18" s="49">
        <f>ROUND('表１８'!I18*1000/$L$2,0)</f>
        <v>391</v>
      </c>
      <c r="J18" s="49">
        <f>ROUND('表１８'!J18*1000/$L$2,0)</f>
        <v>0</v>
      </c>
      <c r="K18" s="49">
        <f>ROUND('表１８'!K18*1000/$L$2,0)</f>
        <v>12</v>
      </c>
      <c r="L18" s="49">
        <f>ROUND('表１８'!L18*1000/$L$2,0)</f>
        <v>2784</v>
      </c>
      <c r="M18" s="49">
        <f>ROUND('表１８'!M18*1000/$L$2,0)</f>
        <v>788</v>
      </c>
      <c r="N18" s="410">
        <f>ROUND('表１８'!N18*1000/$L$2,0)</f>
        <v>264</v>
      </c>
      <c r="O18" s="415"/>
    </row>
    <row r="19" spans="1:15" ht="21" customHeight="1">
      <c r="A19" s="1096"/>
      <c r="B19" s="959"/>
      <c r="C19" s="151" t="s">
        <v>142</v>
      </c>
      <c r="D19" s="245">
        <f>ROUND('表１８'!D19*1000/$L$2,0)</f>
        <v>1625</v>
      </c>
      <c r="E19" s="49">
        <f>ROUND('表１８'!E19*1000/$L$2,0)</f>
        <v>1616</v>
      </c>
      <c r="F19" s="49">
        <f>ROUND('表１８'!F19*1000/$L$2,0)</f>
        <v>18</v>
      </c>
      <c r="G19" s="49">
        <f>ROUND('表１８'!G19*1000/$L$2,0)</f>
        <v>0</v>
      </c>
      <c r="H19" s="49">
        <f>ROUND('表１８'!H19*1000/$L$2,0)</f>
        <v>1598</v>
      </c>
      <c r="I19" s="49">
        <f>ROUND('表１８'!I19*1000/$L$2,0)</f>
        <v>9</v>
      </c>
      <c r="J19" s="49">
        <f>ROUND('表１８'!J19*1000/$L$2,0)</f>
        <v>0</v>
      </c>
      <c r="K19" s="49">
        <f>ROUND('表１８'!K19*1000/$L$2,0)</f>
        <v>0</v>
      </c>
      <c r="L19" s="49">
        <f>ROUND('表１８'!L19*1000/$L$2,0)</f>
        <v>1245</v>
      </c>
      <c r="M19" s="49">
        <f>ROUND('表１８'!M19*1000/$L$2,0)</f>
        <v>274</v>
      </c>
      <c r="N19" s="410">
        <f>ROUND('表１８'!N19*1000/$L$2,0)</f>
        <v>106</v>
      </c>
      <c r="O19" s="415"/>
    </row>
    <row r="20" spans="1:15" ht="21" customHeight="1">
      <c r="A20" s="1096"/>
      <c r="B20" s="959"/>
      <c r="C20" s="151" t="s">
        <v>143</v>
      </c>
      <c r="D20" s="245">
        <f>ROUND('表１８'!D20*1000/$L$2,0)</f>
        <v>780</v>
      </c>
      <c r="E20" s="49">
        <f>ROUND('表１８'!E20*1000/$L$2,0)</f>
        <v>779</v>
      </c>
      <c r="F20" s="49">
        <f>ROUND('表１８'!F20*1000/$L$2,0)</f>
        <v>32</v>
      </c>
      <c r="G20" s="49">
        <f>ROUND('表１８'!G20*1000/$L$2,0)</f>
        <v>0</v>
      </c>
      <c r="H20" s="49">
        <f>ROUND('表１８'!H20*1000/$L$2,0)</f>
        <v>748</v>
      </c>
      <c r="I20" s="49">
        <f>ROUND('表１８'!I20*1000/$L$2,0)</f>
        <v>0</v>
      </c>
      <c r="J20" s="49">
        <f>ROUND('表１８'!J20*1000/$L$2,0)</f>
        <v>0</v>
      </c>
      <c r="K20" s="49">
        <f>ROUND('表１８'!K20*1000/$L$2,0)</f>
        <v>1</v>
      </c>
      <c r="L20" s="49">
        <f>ROUND('表１８'!L20*1000/$L$2,0)</f>
        <v>747</v>
      </c>
      <c r="M20" s="49">
        <f>ROUND('表１８'!M20*1000/$L$2,0)</f>
        <v>27</v>
      </c>
      <c r="N20" s="410">
        <f>ROUND('表１８'!N20*1000/$L$2,0)</f>
        <v>6</v>
      </c>
      <c r="O20" s="415"/>
    </row>
    <row r="21" spans="1:15" ht="21" customHeight="1">
      <c r="A21" s="1096"/>
      <c r="B21" s="959"/>
      <c r="C21" s="151" t="s">
        <v>144</v>
      </c>
      <c r="D21" s="245">
        <f>ROUND('表１８'!D21*1000/$L$2,0)</f>
        <v>2496</v>
      </c>
      <c r="E21" s="49">
        <f>ROUND('表１８'!E21*1000/$L$2,0)</f>
        <v>2163</v>
      </c>
      <c r="F21" s="49">
        <f>ROUND('表１８'!F21*1000/$L$2,0)</f>
        <v>9</v>
      </c>
      <c r="G21" s="49">
        <f>ROUND('表１８'!G21*1000/$L$2,0)</f>
        <v>0</v>
      </c>
      <c r="H21" s="49">
        <f>ROUND('表１８'!H21*1000/$L$2,0)</f>
        <v>2155</v>
      </c>
      <c r="I21" s="49">
        <f>ROUND('表１８'!I21*1000/$L$2,0)</f>
        <v>332</v>
      </c>
      <c r="J21" s="49">
        <f>ROUND('表１８'!J21*1000/$L$2,0)</f>
        <v>0</v>
      </c>
      <c r="K21" s="49">
        <f>ROUND('表１８'!K21*1000/$L$2,0)</f>
        <v>0</v>
      </c>
      <c r="L21" s="49">
        <f>ROUND('表１８'!L21*1000/$L$2,0)</f>
        <v>1268</v>
      </c>
      <c r="M21" s="49">
        <f>ROUND('表１８'!M21*1000/$L$2,0)</f>
        <v>610</v>
      </c>
      <c r="N21" s="410">
        <f>ROUND('表１８'!N21*1000/$L$2,0)</f>
        <v>618</v>
      </c>
      <c r="O21" s="415"/>
    </row>
    <row r="22" spans="1:15" ht="21" customHeight="1">
      <c r="A22" s="1096"/>
      <c r="B22" s="959"/>
      <c r="C22" s="151" t="s">
        <v>145</v>
      </c>
      <c r="D22" s="245">
        <f>ROUND('表１８'!D22*1000/$L$2,0)</f>
        <v>187</v>
      </c>
      <c r="E22" s="49">
        <f>ROUND('表１８'!E22*1000/$L$2,0)</f>
        <v>187</v>
      </c>
      <c r="F22" s="49">
        <f>ROUND('表１８'!F22*1000/$L$2,0)</f>
        <v>0</v>
      </c>
      <c r="G22" s="49">
        <f>ROUND('表１８'!G22*1000/$L$2,0)</f>
        <v>0</v>
      </c>
      <c r="H22" s="49">
        <f>ROUND('表１８'!H22*1000/$L$2,0)</f>
        <v>186</v>
      </c>
      <c r="I22" s="49">
        <f>ROUND('表１８'!I22*1000/$L$2,0)</f>
        <v>0</v>
      </c>
      <c r="J22" s="49">
        <f>ROUND('表１８'!J22*1000/$L$2,0)</f>
        <v>0</v>
      </c>
      <c r="K22" s="49">
        <f>ROUND('表１８'!K22*1000/$L$2,0)</f>
        <v>0</v>
      </c>
      <c r="L22" s="49">
        <f>ROUND('表１８'!L22*1000/$L$2,0)</f>
        <v>178</v>
      </c>
      <c r="M22" s="49">
        <f>ROUND('表１８'!M22*1000/$L$2,0)</f>
        <v>2</v>
      </c>
      <c r="N22" s="410">
        <f>ROUND('表１８'!N22*1000/$L$2,0)</f>
        <v>6</v>
      </c>
      <c r="O22" s="415"/>
    </row>
    <row r="23" spans="1:15" ht="21" customHeight="1">
      <c r="A23" s="1096"/>
      <c r="B23" s="959"/>
      <c r="C23" s="151" t="s">
        <v>146</v>
      </c>
      <c r="D23" s="245">
        <f>ROUND('表１８'!D23*1000/$L$2,0)</f>
        <v>0</v>
      </c>
      <c r="E23" s="49">
        <f>ROUND('表１８'!E23*1000/$L$2,0)</f>
        <v>0</v>
      </c>
      <c r="F23" s="49">
        <f>ROUND('表１８'!F23*1000/$L$2,0)</f>
        <v>0</v>
      </c>
      <c r="G23" s="49">
        <f>ROUND('表１８'!G23*1000/$L$2,0)</f>
        <v>0</v>
      </c>
      <c r="H23" s="49">
        <f>ROUND('表１８'!H23*1000/$L$2,0)</f>
        <v>0</v>
      </c>
      <c r="I23" s="49">
        <f>ROUND('表１８'!I23*1000/$L$2,0)</f>
        <v>0</v>
      </c>
      <c r="J23" s="49">
        <f>ROUND('表１８'!J23*1000/$L$2,0)</f>
        <v>0</v>
      </c>
      <c r="K23" s="49">
        <f>ROUND('表１８'!K23*1000/$L$2,0)</f>
        <v>0</v>
      </c>
      <c r="L23" s="49">
        <f>ROUND('表１８'!L23*1000/$L$2,0)</f>
        <v>0</v>
      </c>
      <c r="M23" s="49">
        <f>ROUND('表１８'!M23*1000/$L$2,0)</f>
        <v>0</v>
      </c>
      <c r="N23" s="410">
        <f>ROUND('表１８'!N23*1000/$L$2,0)</f>
        <v>0</v>
      </c>
      <c r="O23" s="415"/>
    </row>
    <row r="24" spans="1:15" ht="21" customHeight="1">
      <c r="A24" s="1096"/>
      <c r="B24" s="959"/>
      <c r="C24" s="151" t="s">
        <v>147</v>
      </c>
      <c r="D24" s="245">
        <f>ROUND('表１８'!D24*1000/$L$2,0)</f>
        <v>756</v>
      </c>
      <c r="E24" s="49">
        <f>ROUND('表１８'!E24*1000/$L$2,0)</f>
        <v>664</v>
      </c>
      <c r="F24" s="49">
        <f>ROUND('表１８'!F24*1000/$L$2,0)</f>
        <v>0</v>
      </c>
      <c r="G24" s="49">
        <f>ROUND('表１８'!G24*1000/$L$2,0)</f>
        <v>0</v>
      </c>
      <c r="H24" s="49">
        <f>ROUND('表１８'!H24*1000/$L$2,0)</f>
        <v>664</v>
      </c>
      <c r="I24" s="49">
        <f>ROUND('表１８'!I24*1000/$L$2,0)</f>
        <v>86</v>
      </c>
      <c r="J24" s="49">
        <f>ROUND('表１８'!J24*1000/$L$2,0)</f>
        <v>0</v>
      </c>
      <c r="K24" s="49">
        <f>ROUND('表１８'!K24*1000/$L$2,0)</f>
        <v>5</v>
      </c>
      <c r="L24" s="49">
        <f>ROUND('表１８'!L24*1000/$L$2,0)</f>
        <v>491</v>
      </c>
      <c r="M24" s="49">
        <f>ROUND('表１８'!M24*1000/$L$2,0)</f>
        <v>219</v>
      </c>
      <c r="N24" s="410">
        <f>ROUND('表１８'!N24*1000/$L$2,0)</f>
        <v>46</v>
      </c>
      <c r="O24" s="415"/>
    </row>
    <row r="25" spans="1:15" ht="21" customHeight="1">
      <c r="A25" s="1096"/>
      <c r="B25" s="959"/>
      <c r="C25" s="140" t="s">
        <v>148</v>
      </c>
      <c r="D25" s="245">
        <f>ROUND('表１８'!D25*1000/$L$2,0)</f>
        <v>524</v>
      </c>
      <c r="E25" s="49">
        <f>ROUND('表１８'!E25*1000/$L$2,0)</f>
        <v>481</v>
      </c>
      <c r="F25" s="49">
        <f>ROUND('表１８'!F25*1000/$L$2,0)</f>
        <v>0</v>
      </c>
      <c r="G25" s="49">
        <f>ROUND('表１８'!G25*1000/$L$2,0)</f>
        <v>2</v>
      </c>
      <c r="H25" s="49">
        <f>ROUND('表１８'!H25*1000/$L$2,0)</f>
        <v>479</v>
      </c>
      <c r="I25" s="49">
        <f>ROUND('表１８'!I25*1000/$L$2,0)</f>
        <v>43</v>
      </c>
      <c r="J25" s="49">
        <f>ROUND('表１８'!J25*1000/$L$2,0)</f>
        <v>0</v>
      </c>
      <c r="K25" s="49">
        <f>ROUND('表１８'!K25*1000/$L$2,0)</f>
        <v>0</v>
      </c>
      <c r="L25" s="49">
        <f>ROUND('表１８'!L25*1000/$L$2,0)</f>
        <v>409</v>
      </c>
      <c r="M25" s="49">
        <f>ROUND('表１８'!M25*1000/$L$2,0)</f>
        <v>104</v>
      </c>
      <c r="N25" s="410">
        <f>ROUND('表１８'!N25*1000/$L$2,0)</f>
        <v>11</v>
      </c>
      <c r="O25" s="415"/>
    </row>
    <row r="26" spans="1:15" ht="25.5" customHeight="1">
      <c r="A26" s="1096"/>
      <c r="B26" s="959"/>
      <c r="C26" s="152" t="s">
        <v>149</v>
      </c>
      <c r="D26" s="245">
        <f>ROUND('表１８'!D26*1000/$L$2,0)</f>
        <v>853</v>
      </c>
      <c r="E26" s="49">
        <f>ROUND('表１８'!E26*1000/$L$2,0)</f>
        <v>848</v>
      </c>
      <c r="F26" s="49">
        <f>ROUND('表１８'!F26*1000/$L$2,0)</f>
        <v>53</v>
      </c>
      <c r="G26" s="49">
        <f>ROUND('表１８'!G26*1000/$L$2,0)</f>
        <v>42</v>
      </c>
      <c r="H26" s="49">
        <f>ROUND('表１８'!H26*1000/$L$2,0)</f>
        <v>753</v>
      </c>
      <c r="I26" s="49">
        <f>ROUND('表１８'!I26*1000/$L$2,0)</f>
        <v>5</v>
      </c>
      <c r="J26" s="49">
        <f>ROUND('表１８'!J26*1000/$L$2,0)</f>
        <v>0</v>
      </c>
      <c r="K26" s="49">
        <f>ROUND('表１８'!K26*1000/$L$2,0)</f>
        <v>0</v>
      </c>
      <c r="L26" s="49">
        <f>ROUND('表１８'!L26*1000/$L$2,0)</f>
        <v>806</v>
      </c>
      <c r="M26" s="49">
        <f>ROUND('表１８'!M26*1000/$L$2,0)</f>
        <v>47</v>
      </c>
      <c r="N26" s="410">
        <f>ROUND('表１８'!N26*1000/$L$2,0)</f>
        <v>0</v>
      </c>
      <c r="O26" s="415"/>
    </row>
    <row r="27" spans="1:15" ht="21" customHeight="1">
      <c r="A27" s="1096"/>
      <c r="B27" s="964"/>
      <c r="C27" s="154" t="s">
        <v>150</v>
      </c>
      <c r="D27" s="245">
        <f>ROUND('表１８'!D27*1000/$L$2,0)</f>
        <v>519</v>
      </c>
      <c r="E27" s="49">
        <f>ROUND('表１８'!E27*1000/$L$2,0)</f>
        <v>486</v>
      </c>
      <c r="F27" s="49">
        <f>ROUND('表１８'!F27*1000/$L$2,0)</f>
        <v>84</v>
      </c>
      <c r="G27" s="49">
        <f>ROUND('表１８'!G27*1000/$L$2,0)</f>
        <v>5</v>
      </c>
      <c r="H27" s="49">
        <f>ROUND('表１８'!H27*1000/$L$2,0)</f>
        <v>397</v>
      </c>
      <c r="I27" s="49">
        <f>ROUND('表１８'!I27*1000/$L$2,0)</f>
        <v>33</v>
      </c>
      <c r="J27" s="49">
        <f>ROUND('表１８'!J27*1000/$L$2,0)</f>
        <v>0</v>
      </c>
      <c r="K27" s="49">
        <f>ROUND('表１８'!K27*1000/$L$2,0)</f>
        <v>0</v>
      </c>
      <c r="L27" s="49">
        <f>ROUND('表１８'!L27*1000/$L$2,0)</f>
        <v>431</v>
      </c>
      <c r="M27" s="49">
        <f>ROUND('表１８'!M27*1000/$L$2,0)</f>
        <v>71</v>
      </c>
      <c r="N27" s="410">
        <f>ROUND('表１８'!N27*1000/$L$2,0)</f>
        <v>17</v>
      </c>
      <c r="O27" s="415"/>
    </row>
    <row r="28" spans="1:15" ht="21" customHeight="1" thickBot="1">
      <c r="A28" s="1097"/>
      <c r="B28" s="1118" t="s">
        <v>151</v>
      </c>
      <c r="C28" s="1123"/>
      <c r="D28" s="248">
        <f>ROUND('表１８'!D28*1000/$L$2,0)</f>
        <v>5685</v>
      </c>
      <c r="E28" s="60">
        <f>ROUND('表１８'!E28*1000/$L$2,0)</f>
        <v>5591</v>
      </c>
      <c r="F28" s="60">
        <f>ROUND('表１８'!F28*1000/$L$2,0)</f>
        <v>29</v>
      </c>
      <c r="G28" s="60">
        <f>ROUND('表１８'!G28*1000/$L$2,0)</f>
        <v>28</v>
      </c>
      <c r="H28" s="60">
        <f>ROUND('表１８'!H28*1000/$L$2,0)</f>
        <v>5534</v>
      </c>
      <c r="I28" s="60">
        <f>ROUND('表１８'!I28*1000/$L$2,0)</f>
        <v>94</v>
      </c>
      <c r="J28" s="60">
        <f>ROUND('表１８'!J28*1000/$L$2,0)</f>
        <v>0</v>
      </c>
      <c r="K28" s="60">
        <f>ROUND('表１８'!K28*1000/$L$2,0)</f>
        <v>0</v>
      </c>
      <c r="L28" s="60">
        <f>ROUND('表１８'!L28*1000/$L$2,0)</f>
        <v>5566</v>
      </c>
      <c r="M28" s="60">
        <f>ROUND('表１８'!M28*1000/$L$2,0)</f>
        <v>106</v>
      </c>
      <c r="N28" s="411">
        <f>ROUND('表１８'!N28*1000/$L$2,0)</f>
        <v>14</v>
      </c>
      <c r="O28" s="61">
        <f>ROUND('表１８'!O28*1000/$L$2,0)</f>
        <v>2</v>
      </c>
    </row>
    <row r="29" ht="18" customHeight="1">
      <c r="A29" s="7" t="s">
        <v>120</v>
      </c>
    </row>
  </sheetData>
  <sheetProtection/>
  <mergeCells count="16">
    <mergeCell ref="O3:O4"/>
    <mergeCell ref="I3:I4"/>
    <mergeCell ref="K3:K4"/>
    <mergeCell ref="L3:N3"/>
    <mergeCell ref="A3:C4"/>
    <mergeCell ref="D3:D4"/>
    <mergeCell ref="E3:H3"/>
    <mergeCell ref="J3:J4"/>
    <mergeCell ref="L2:M2"/>
    <mergeCell ref="A17:A28"/>
    <mergeCell ref="B18:B27"/>
    <mergeCell ref="B28:C28"/>
    <mergeCell ref="A5:A16"/>
    <mergeCell ref="B5:C5"/>
    <mergeCell ref="B6:B15"/>
    <mergeCell ref="B16:C16"/>
  </mergeCells>
  <printOptions/>
  <pageMargins left="0.7874015748031497" right="0.7874015748031497" top="0.76" bottom="0.54" header="0.5118110236220472" footer="0.5118110236220472"/>
  <pageSetup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M34"/>
  <sheetViews>
    <sheetView zoomScalePageLayoutView="0" workbookViewId="0" topLeftCell="A1">
      <selection activeCell="A1" sqref="A1:H1"/>
    </sheetView>
  </sheetViews>
  <sheetFormatPr defaultColWidth="9.00390625" defaultRowHeight="13.5"/>
  <cols>
    <col min="1" max="1" width="2.625" style="7" customWidth="1"/>
    <col min="2" max="3" width="2.125" style="7" customWidth="1"/>
    <col min="4" max="4" width="2.625" style="7" customWidth="1"/>
    <col min="5" max="5" width="11.50390625" style="7" customWidth="1"/>
    <col min="6" max="10" width="14.625" style="7" customWidth="1"/>
    <col min="11" max="11" width="12.75390625" style="7" hidden="1" customWidth="1"/>
    <col min="12" max="16384" width="9.00390625" style="7" customWidth="1"/>
  </cols>
  <sheetData>
    <row r="1" spans="1:10" ht="21" customHeight="1" thickBot="1">
      <c r="A1" s="948" t="s">
        <v>412</v>
      </c>
      <c r="B1" s="917"/>
      <c r="C1" s="917"/>
      <c r="D1" s="917"/>
      <c r="E1" s="917"/>
      <c r="F1" s="917"/>
      <c r="G1" s="917"/>
      <c r="H1" s="917"/>
      <c r="J1" s="7" t="s">
        <v>299</v>
      </c>
    </row>
    <row r="2" spans="1:10" ht="27.75" customHeight="1" thickBot="1">
      <c r="A2" s="949" t="s">
        <v>279</v>
      </c>
      <c r="B2" s="950"/>
      <c r="C2" s="950"/>
      <c r="D2" s="950"/>
      <c r="E2" s="951"/>
      <c r="F2" s="14" t="s">
        <v>321</v>
      </c>
      <c r="G2" s="14" t="s">
        <v>326</v>
      </c>
      <c r="H2" s="14" t="s">
        <v>328</v>
      </c>
      <c r="I2" s="14" t="s">
        <v>329</v>
      </c>
      <c r="J2" s="141" t="s">
        <v>330</v>
      </c>
    </row>
    <row r="3" spans="1:11" ht="27.75" customHeight="1" thickTop="1">
      <c r="A3" s="952" t="s">
        <v>27</v>
      </c>
      <c r="B3" s="938" t="s">
        <v>28</v>
      </c>
      <c r="C3" s="938"/>
      <c r="D3" s="938"/>
      <c r="E3" s="938"/>
      <c r="F3" s="188">
        <v>190462233</v>
      </c>
      <c r="G3" s="157">
        <v>193350335</v>
      </c>
      <c r="H3" s="188">
        <v>188476972</v>
      </c>
      <c r="I3" s="157">
        <v>191113147</v>
      </c>
      <c r="J3" s="186">
        <f>J4+J16+J17</f>
        <v>184853627</v>
      </c>
      <c r="K3" s="476">
        <f>K4+K16+K17</f>
        <v>191113147</v>
      </c>
    </row>
    <row r="4" spans="1:11" ht="27.75" customHeight="1">
      <c r="A4" s="953"/>
      <c r="B4" s="939"/>
      <c r="C4" s="942" t="s">
        <v>29</v>
      </c>
      <c r="D4" s="942"/>
      <c r="E4" s="942"/>
      <c r="F4" s="116">
        <v>158292327</v>
      </c>
      <c r="G4" s="116">
        <v>160107225</v>
      </c>
      <c r="H4" s="116">
        <v>155683780</v>
      </c>
      <c r="I4" s="116">
        <v>157069683</v>
      </c>
      <c r="J4" s="187">
        <f>'表２１－１'!E10</f>
        <v>155155034</v>
      </c>
      <c r="K4" s="476">
        <f>'表２１－１'!D10</f>
        <v>157069683</v>
      </c>
    </row>
    <row r="5" spans="1:11" ht="26.25" customHeight="1">
      <c r="A5" s="953"/>
      <c r="B5" s="940"/>
      <c r="C5" s="939"/>
      <c r="D5" s="932" t="s">
        <v>30</v>
      </c>
      <c r="E5" s="932"/>
      <c r="F5" s="117">
        <v>2207757</v>
      </c>
      <c r="G5" s="117">
        <v>2370885</v>
      </c>
      <c r="H5" s="117">
        <v>2040937</v>
      </c>
      <c r="I5" s="117">
        <v>2049404</v>
      </c>
      <c r="J5" s="142">
        <f>'表２１－１'!E11</f>
        <v>1644298</v>
      </c>
      <c r="K5" s="476">
        <f>'表２１－１'!D11</f>
        <v>2049404</v>
      </c>
    </row>
    <row r="6" spans="1:11" ht="26.25" customHeight="1">
      <c r="A6" s="953"/>
      <c r="B6" s="940"/>
      <c r="C6" s="940"/>
      <c r="D6" s="932" t="s">
        <v>31</v>
      </c>
      <c r="E6" s="932"/>
      <c r="F6" s="117">
        <v>68194469</v>
      </c>
      <c r="G6" s="117">
        <v>65587664</v>
      </c>
      <c r="H6" s="117">
        <v>67835672</v>
      </c>
      <c r="I6" s="117">
        <v>70152070</v>
      </c>
      <c r="J6" s="142">
        <f>'表２１－１'!E12</f>
        <v>68862366</v>
      </c>
      <c r="K6" s="476">
        <f>'表２１－１'!D12</f>
        <v>70152070</v>
      </c>
    </row>
    <row r="7" spans="1:11" ht="26.25" customHeight="1">
      <c r="A7" s="953"/>
      <c r="B7" s="940"/>
      <c r="C7" s="940"/>
      <c r="D7" s="932" t="s">
        <v>32</v>
      </c>
      <c r="E7" s="932"/>
      <c r="F7" s="117">
        <v>40407941</v>
      </c>
      <c r="G7" s="117">
        <v>42327937</v>
      </c>
      <c r="H7" s="117">
        <v>42215961</v>
      </c>
      <c r="I7" s="117">
        <v>41626416</v>
      </c>
      <c r="J7" s="142">
        <f>'表２１－１'!E13</f>
        <v>38922117</v>
      </c>
      <c r="K7" s="476">
        <f>'表２１－１'!D13</f>
        <v>41626416</v>
      </c>
    </row>
    <row r="8" spans="1:11" ht="26.25" customHeight="1">
      <c r="A8" s="953"/>
      <c r="B8" s="940"/>
      <c r="C8" s="940"/>
      <c r="D8" s="932" t="s">
        <v>243</v>
      </c>
      <c r="E8" s="932"/>
      <c r="F8" s="117">
        <v>9217873</v>
      </c>
      <c r="G8" s="117">
        <v>9291172</v>
      </c>
      <c r="H8" s="117">
        <v>10031857</v>
      </c>
      <c r="I8" s="117">
        <v>9587455</v>
      </c>
      <c r="J8" s="142">
        <f>'表２１－１'!E14</f>
        <v>9820800</v>
      </c>
      <c r="K8" s="476">
        <f>'表２１－１'!D14</f>
        <v>9587455</v>
      </c>
    </row>
    <row r="9" spans="1:11" ht="26.25" customHeight="1">
      <c r="A9" s="953"/>
      <c r="B9" s="940"/>
      <c r="C9" s="940"/>
      <c r="D9" s="946" t="s">
        <v>33</v>
      </c>
      <c r="E9" s="9" t="s">
        <v>34</v>
      </c>
      <c r="F9" s="117">
        <v>34136218</v>
      </c>
      <c r="G9" s="117">
        <v>36404790</v>
      </c>
      <c r="H9" s="117">
        <v>29382144</v>
      </c>
      <c r="I9" s="117">
        <v>29541428</v>
      </c>
      <c r="J9" s="142">
        <f>'表２１－１'!E15</f>
        <v>31278749</v>
      </c>
      <c r="K9" s="476">
        <f>'表２１－１'!D15</f>
        <v>29541428</v>
      </c>
    </row>
    <row r="10" spans="1:11" ht="26.25" customHeight="1">
      <c r="A10" s="953"/>
      <c r="B10" s="940"/>
      <c r="C10" s="940"/>
      <c r="D10" s="946"/>
      <c r="E10" s="9" t="s">
        <v>35</v>
      </c>
      <c r="F10" s="117">
        <v>852201</v>
      </c>
      <c r="G10" s="117">
        <v>904926</v>
      </c>
      <c r="H10" s="117">
        <v>878101</v>
      </c>
      <c r="I10" s="117">
        <v>886827</v>
      </c>
      <c r="J10" s="142">
        <f>'表２１－１'!E16</f>
        <v>896539</v>
      </c>
      <c r="K10" s="476">
        <f>'表２１－１'!D16</f>
        <v>886827</v>
      </c>
    </row>
    <row r="11" spans="1:11" ht="26.25" customHeight="1">
      <c r="A11" s="953"/>
      <c r="B11" s="940"/>
      <c r="C11" s="940"/>
      <c r="D11" s="946"/>
      <c r="E11" s="9" t="s">
        <v>36</v>
      </c>
      <c r="F11" s="117">
        <v>176990</v>
      </c>
      <c r="G11" s="117">
        <v>182081</v>
      </c>
      <c r="H11" s="117">
        <v>177366</v>
      </c>
      <c r="I11" s="117">
        <v>173464</v>
      </c>
      <c r="J11" s="142">
        <f>'表２１－１'!E17</f>
        <v>177018</v>
      </c>
      <c r="K11" s="476">
        <f>'表２１－１'!D17</f>
        <v>173464</v>
      </c>
    </row>
    <row r="12" spans="1:11" ht="26.25" customHeight="1">
      <c r="A12" s="953"/>
      <c r="B12" s="940"/>
      <c r="C12" s="940"/>
      <c r="D12" s="947"/>
      <c r="E12" s="8" t="s">
        <v>37</v>
      </c>
      <c r="F12" s="117">
        <v>35165409</v>
      </c>
      <c r="G12" s="117">
        <v>37491797</v>
      </c>
      <c r="H12" s="117">
        <v>30437611</v>
      </c>
      <c r="I12" s="117">
        <v>30601719</v>
      </c>
      <c r="J12" s="142">
        <f>SUM(J9:J11)</f>
        <v>32352306</v>
      </c>
      <c r="K12" s="476">
        <f>SUM(K9:K11)</f>
        <v>30601719</v>
      </c>
    </row>
    <row r="13" spans="1:11" ht="26.25" customHeight="1">
      <c r="A13" s="953"/>
      <c r="B13" s="940"/>
      <c r="C13" s="940"/>
      <c r="D13" s="956" t="s">
        <v>38</v>
      </c>
      <c r="E13" s="957"/>
      <c r="F13" s="117">
        <v>2336242</v>
      </c>
      <c r="G13" s="117">
        <v>2235734</v>
      </c>
      <c r="H13" s="117">
        <v>2230797</v>
      </c>
      <c r="I13" s="117">
        <v>2130789</v>
      </c>
      <c r="J13" s="142">
        <f>'表２１－１'!E18</f>
        <v>2236940</v>
      </c>
      <c r="K13" s="476">
        <f>'表２１－１'!D18</f>
        <v>2130789</v>
      </c>
    </row>
    <row r="14" spans="1:11" ht="26.25" customHeight="1">
      <c r="A14" s="953"/>
      <c r="B14" s="940"/>
      <c r="C14" s="940"/>
      <c r="D14" s="932" t="s">
        <v>39</v>
      </c>
      <c r="E14" s="932"/>
      <c r="F14" s="117">
        <v>189971</v>
      </c>
      <c r="G14" s="117">
        <v>188221</v>
      </c>
      <c r="H14" s="117">
        <v>192887</v>
      </c>
      <c r="I14" s="117">
        <v>206787</v>
      </c>
      <c r="J14" s="142">
        <f>'表２１－１'!E19</f>
        <v>246601</v>
      </c>
      <c r="K14" s="476">
        <f>'表２１－１'!D19</f>
        <v>206787</v>
      </c>
    </row>
    <row r="15" spans="1:11" ht="26.25" customHeight="1">
      <c r="A15" s="953"/>
      <c r="B15" s="940"/>
      <c r="C15" s="944"/>
      <c r="D15" s="933" t="s">
        <v>324</v>
      </c>
      <c r="E15" s="934"/>
      <c r="F15" s="117">
        <v>572665</v>
      </c>
      <c r="G15" s="117">
        <v>613815</v>
      </c>
      <c r="H15" s="117">
        <v>698058</v>
      </c>
      <c r="I15" s="117">
        <v>715043</v>
      </c>
      <c r="J15" s="142">
        <f>'表２１－１'!E22</f>
        <v>1069606</v>
      </c>
      <c r="K15" s="476">
        <f>'表２１－１'!D22</f>
        <v>715043</v>
      </c>
    </row>
    <row r="16" spans="1:11" ht="27.75" customHeight="1">
      <c r="A16" s="953"/>
      <c r="B16" s="940"/>
      <c r="C16" s="943" t="s">
        <v>40</v>
      </c>
      <c r="D16" s="943"/>
      <c r="E16" s="943"/>
      <c r="F16" s="118">
        <v>21385742</v>
      </c>
      <c r="G16" s="118">
        <v>22090030</v>
      </c>
      <c r="H16" s="118">
        <v>21391800</v>
      </c>
      <c r="I16" s="118">
        <v>21783161</v>
      </c>
      <c r="J16" s="155">
        <f>'表２１－１'!E25</f>
        <v>17731350</v>
      </c>
      <c r="K16" s="476">
        <f>'表２１－１'!D25</f>
        <v>21783161</v>
      </c>
    </row>
    <row r="17" spans="1:11" ht="27.75" customHeight="1" thickBot="1">
      <c r="A17" s="954"/>
      <c r="B17" s="945"/>
      <c r="C17" s="955" t="s">
        <v>41</v>
      </c>
      <c r="D17" s="955"/>
      <c r="E17" s="955"/>
      <c r="F17" s="119">
        <v>10784164</v>
      </c>
      <c r="G17" s="119">
        <v>11153080</v>
      </c>
      <c r="H17" s="119">
        <v>11401392</v>
      </c>
      <c r="I17" s="119">
        <v>12260303</v>
      </c>
      <c r="J17" s="143">
        <f>'表２１－１'!E37</f>
        <v>11967243</v>
      </c>
      <c r="K17" s="476">
        <f>'表２１－１'!D37</f>
        <v>12260303</v>
      </c>
    </row>
    <row r="18" spans="1:11" ht="27.75" customHeight="1" thickTop="1">
      <c r="A18" s="935" t="s">
        <v>42</v>
      </c>
      <c r="B18" s="938" t="s">
        <v>28</v>
      </c>
      <c r="C18" s="938"/>
      <c r="D18" s="938"/>
      <c r="E18" s="938"/>
      <c r="F18" s="189">
        <v>100</v>
      </c>
      <c r="G18" s="258">
        <f aca="true" t="shared" si="0" ref="G18:G32">G3/F3*100</f>
        <v>101.5163646642744</v>
      </c>
      <c r="H18" s="190">
        <f aca="true" t="shared" si="1" ref="H18:H32">H3/F3*100</f>
        <v>98.95766159582934</v>
      </c>
      <c r="I18" s="191">
        <f aca="true" t="shared" si="2" ref="I18:I32">I3/F3*100</f>
        <v>100.34175489268785</v>
      </c>
      <c r="J18" s="192">
        <f aca="true" t="shared" si="3" ref="J18:J32">J3/F3*100</f>
        <v>97.05526606946796</v>
      </c>
      <c r="K18" s="193"/>
    </row>
    <row r="19" spans="1:11" ht="27.75" customHeight="1">
      <c r="A19" s="936"/>
      <c r="B19" s="939"/>
      <c r="C19" s="942" t="s">
        <v>29</v>
      </c>
      <c r="D19" s="942"/>
      <c r="E19" s="942"/>
      <c r="F19" s="189">
        <v>100</v>
      </c>
      <c r="G19" s="189">
        <f t="shared" si="0"/>
        <v>101.14654830995062</v>
      </c>
      <c r="H19" s="190">
        <f t="shared" si="1"/>
        <v>98.35206983848308</v>
      </c>
      <c r="I19" s="189">
        <f t="shared" si="2"/>
        <v>99.22760374860115</v>
      </c>
      <c r="J19" s="194">
        <f t="shared" si="3"/>
        <v>98.01803848647698</v>
      </c>
      <c r="K19" s="193"/>
    </row>
    <row r="20" spans="1:11" ht="26.25" customHeight="1">
      <c r="A20" s="936"/>
      <c r="B20" s="940"/>
      <c r="C20" s="939"/>
      <c r="D20" s="932" t="s">
        <v>30</v>
      </c>
      <c r="E20" s="932"/>
      <c r="F20" s="189">
        <v>100</v>
      </c>
      <c r="G20" s="189">
        <f t="shared" si="0"/>
        <v>107.3888566540611</v>
      </c>
      <c r="H20" s="190">
        <f t="shared" si="1"/>
        <v>92.44391479678244</v>
      </c>
      <c r="I20" s="189">
        <f t="shared" si="2"/>
        <v>92.8274262067791</v>
      </c>
      <c r="J20" s="194">
        <f t="shared" si="3"/>
        <v>74.4782147672955</v>
      </c>
      <c r="K20" s="193"/>
    </row>
    <row r="21" spans="1:11" ht="26.25" customHeight="1">
      <c r="A21" s="936"/>
      <c r="B21" s="940"/>
      <c r="C21" s="940"/>
      <c r="D21" s="932" t="s">
        <v>31</v>
      </c>
      <c r="E21" s="932"/>
      <c r="F21" s="189">
        <v>100</v>
      </c>
      <c r="G21" s="189">
        <f t="shared" si="0"/>
        <v>96.17739526646949</v>
      </c>
      <c r="H21" s="190">
        <f t="shared" si="1"/>
        <v>99.47386202244643</v>
      </c>
      <c r="I21" s="189">
        <f t="shared" si="2"/>
        <v>102.87061550402277</v>
      </c>
      <c r="J21" s="194">
        <f t="shared" si="3"/>
        <v>100.97940054346637</v>
      </c>
      <c r="K21" s="193"/>
    </row>
    <row r="22" spans="1:11" ht="26.25" customHeight="1">
      <c r="A22" s="936"/>
      <c r="B22" s="940"/>
      <c r="C22" s="940"/>
      <c r="D22" s="932" t="s">
        <v>32</v>
      </c>
      <c r="E22" s="932"/>
      <c r="F22" s="189">
        <v>100</v>
      </c>
      <c r="G22" s="189">
        <f t="shared" si="0"/>
        <v>104.75153138834766</v>
      </c>
      <c r="H22" s="190">
        <f t="shared" si="1"/>
        <v>104.4744175408492</v>
      </c>
      <c r="I22" s="189">
        <f t="shared" si="2"/>
        <v>103.01543451570572</v>
      </c>
      <c r="J22" s="194">
        <f t="shared" si="3"/>
        <v>96.32294058239691</v>
      </c>
      <c r="K22" s="193"/>
    </row>
    <row r="23" spans="1:11" ht="26.25" customHeight="1">
      <c r="A23" s="936"/>
      <c r="B23" s="940"/>
      <c r="C23" s="940"/>
      <c r="D23" s="932" t="s">
        <v>243</v>
      </c>
      <c r="E23" s="932"/>
      <c r="F23" s="189">
        <v>100</v>
      </c>
      <c r="G23" s="189">
        <f t="shared" si="0"/>
        <v>100.79518344416331</v>
      </c>
      <c r="H23" s="190">
        <f t="shared" si="1"/>
        <v>108.83049701379048</v>
      </c>
      <c r="I23" s="189">
        <f t="shared" si="2"/>
        <v>104.0094065084212</v>
      </c>
      <c r="J23" s="194">
        <f t="shared" si="3"/>
        <v>106.5408473299643</v>
      </c>
      <c r="K23" s="193"/>
    </row>
    <row r="24" spans="1:11" ht="26.25" customHeight="1">
      <c r="A24" s="936"/>
      <c r="B24" s="940"/>
      <c r="C24" s="940"/>
      <c r="D24" s="946" t="s">
        <v>33</v>
      </c>
      <c r="E24" s="9" t="s">
        <v>34</v>
      </c>
      <c r="F24" s="189">
        <v>100</v>
      </c>
      <c r="G24" s="189">
        <f t="shared" si="0"/>
        <v>106.64564539633534</v>
      </c>
      <c r="H24" s="190">
        <f t="shared" si="1"/>
        <v>86.07322580374897</v>
      </c>
      <c r="I24" s="189">
        <f t="shared" si="2"/>
        <v>86.53983871323999</v>
      </c>
      <c r="J24" s="194">
        <f t="shared" si="3"/>
        <v>91.62921621838717</v>
      </c>
      <c r="K24" s="193"/>
    </row>
    <row r="25" spans="1:11" ht="26.25" customHeight="1">
      <c r="A25" s="936"/>
      <c r="B25" s="940"/>
      <c r="C25" s="940"/>
      <c r="D25" s="946"/>
      <c r="E25" s="9" t="s">
        <v>35</v>
      </c>
      <c r="F25" s="189">
        <v>100</v>
      </c>
      <c r="G25" s="189">
        <f t="shared" si="0"/>
        <v>106.18692069124538</v>
      </c>
      <c r="H25" s="190">
        <f t="shared" si="1"/>
        <v>103.03918911148895</v>
      </c>
      <c r="I25" s="189">
        <f t="shared" si="2"/>
        <v>104.06312595268017</v>
      </c>
      <c r="J25" s="194">
        <f t="shared" si="3"/>
        <v>105.20276319788407</v>
      </c>
      <c r="K25" s="193"/>
    </row>
    <row r="26" spans="1:11" ht="26.25" customHeight="1">
      <c r="A26" s="936"/>
      <c r="B26" s="940"/>
      <c r="C26" s="940"/>
      <c r="D26" s="946"/>
      <c r="E26" s="9" t="s">
        <v>36</v>
      </c>
      <c r="F26" s="189">
        <v>100</v>
      </c>
      <c r="G26" s="189">
        <f t="shared" si="0"/>
        <v>102.87643369681902</v>
      </c>
      <c r="H26" s="190">
        <f t="shared" si="1"/>
        <v>100.21244138086898</v>
      </c>
      <c r="I26" s="189">
        <f t="shared" si="2"/>
        <v>98.00779705068084</v>
      </c>
      <c r="J26" s="194">
        <f t="shared" si="3"/>
        <v>100.01582010283067</v>
      </c>
      <c r="K26" s="193"/>
    </row>
    <row r="27" spans="1:13" ht="26.25" customHeight="1">
      <c r="A27" s="936"/>
      <c r="B27" s="940"/>
      <c r="C27" s="940"/>
      <c r="D27" s="947"/>
      <c r="E27" s="8" t="s">
        <v>37</v>
      </c>
      <c r="F27" s="189">
        <v>100</v>
      </c>
      <c r="G27" s="189">
        <f t="shared" si="0"/>
        <v>106.61555791943155</v>
      </c>
      <c r="H27" s="190">
        <f t="shared" si="1"/>
        <v>86.55554383001774</v>
      </c>
      <c r="I27" s="189">
        <f t="shared" si="2"/>
        <v>87.02221833961892</v>
      </c>
      <c r="J27" s="194">
        <f t="shared" si="3"/>
        <v>92.00036888523037</v>
      </c>
      <c r="K27" s="193"/>
      <c r="M27" s="448"/>
    </row>
    <row r="28" spans="1:11" ht="26.25" customHeight="1">
      <c r="A28" s="936"/>
      <c r="B28" s="940"/>
      <c r="C28" s="940"/>
      <c r="D28" s="929" t="s">
        <v>38</v>
      </c>
      <c r="E28" s="930"/>
      <c r="F28" s="189">
        <v>100</v>
      </c>
      <c r="G28" s="189">
        <f t="shared" si="0"/>
        <v>95.69787718909257</v>
      </c>
      <c r="H28" s="190">
        <f t="shared" si="1"/>
        <v>95.48655490313075</v>
      </c>
      <c r="I28" s="189">
        <f t="shared" si="2"/>
        <v>91.20583398466427</v>
      </c>
      <c r="J28" s="194">
        <f t="shared" si="3"/>
        <v>95.7494985536601</v>
      </c>
      <c r="K28" s="193"/>
    </row>
    <row r="29" spans="1:11" ht="26.25" customHeight="1">
      <c r="A29" s="936"/>
      <c r="B29" s="940"/>
      <c r="C29" s="940"/>
      <c r="D29" s="932" t="s">
        <v>39</v>
      </c>
      <c r="E29" s="932"/>
      <c r="F29" s="189">
        <v>100</v>
      </c>
      <c r="G29" s="189">
        <f t="shared" si="0"/>
        <v>99.07880676524312</v>
      </c>
      <c r="H29" s="190">
        <f t="shared" si="1"/>
        <v>101.53497112717204</v>
      </c>
      <c r="I29" s="189">
        <f t="shared" si="2"/>
        <v>108.85187739181244</v>
      </c>
      <c r="J29" s="195">
        <f t="shared" si="3"/>
        <v>129.80981307673275</v>
      </c>
      <c r="K29" s="447"/>
    </row>
    <row r="30" spans="1:12" ht="26.25" customHeight="1">
      <c r="A30" s="936"/>
      <c r="B30" s="940"/>
      <c r="C30" s="944"/>
      <c r="D30" s="933" t="s">
        <v>324</v>
      </c>
      <c r="E30" s="934"/>
      <c r="F30" s="189">
        <v>100</v>
      </c>
      <c r="G30" s="189">
        <f>G15/F15*100</f>
        <v>107.18570193743288</v>
      </c>
      <c r="H30" s="190">
        <f>H15/F15*100</f>
        <v>121.8963966717016</v>
      </c>
      <c r="I30" s="190">
        <f t="shared" si="2"/>
        <v>124.86235408135646</v>
      </c>
      <c r="J30" s="195">
        <f t="shared" si="3"/>
        <v>186.7769114578331</v>
      </c>
      <c r="K30" s="449"/>
      <c r="L30" s="448"/>
    </row>
    <row r="31" spans="1:11" ht="27.75" customHeight="1">
      <c r="A31" s="936"/>
      <c r="B31" s="940"/>
      <c r="C31" s="943" t="s">
        <v>40</v>
      </c>
      <c r="D31" s="943"/>
      <c r="E31" s="943"/>
      <c r="F31" s="189">
        <v>100</v>
      </c>
      <c r="G31" s="189">
        <f t="shared" si="0"/>
        <v>103.29325959323741</v>
      </c>
      <c r="H31" s="190">
        <f t="shared" si="1"/>
        <v>100.02832728459924</v>
      </c>
      <c r="I31" s="189">
        <f t="shared" si="2"/>
        <v>101.85833626908993</v>
      </c>
      <c r="J31" s="195">
        <f t="shared" si="3"/>
        <v>82.91201680072639</v>
      </c>
      <c r="K31" s="447"/>
    </row>
    <row r="32" spans="1:11" ht="27.75" customHeight="1" thickBot="1">
      <c r="A32" s="937"/>
      <c r="B32" s="941"/>
      <c r="C32" s="931" t="s">
        <v>41</v>
      </c>
      <c r="D32" s="931"/>
      <c r="E32" s="931"/>
      <c r="F32" s="196">
        <v>100</v>
      </c>
      <c r="G32" s="196">
        <f t="shared" si="0"/>
        <v>103.4209049491458</v>
      </c>
      <c r="H32" s="197">
        <f t="shared" si="1"/>
        <v>105.72346637161675</v>
      </c>
      <c r="I32" s="196">
        <f t="shared" si="2"/>
        <v>113.68802440318973</v>
      </c>
      <c r="J32" s="198">
        <f t="shared" si="3"/>
        <v>110.97052121981825</v>
      </c>
      <c r="K32" s="193"/>
    </row>
    <row r="34" ht="12.75">
      <c r="B34" s="477" t="s">
        <v>323</v>
      </c>
    </row>
  </sheetData>
  <sheetProtection/>
  <mergeCells count="32">
    <mergeCell ref="A1:H1"/>
    <mergeCell ref="D6:E6"/>
    <mergeCell ref="D7:E7"/>
    <mergeCell ref="C16:E16"/>
    <mergeCell ref="D8:E8"/>
    <mergeCell ref="D9:D12"/>
    <mergeCell ref="A2:E2"/>
    <mergeCell ref="A3:A17"/>
    <mergeCell ref="C17:E17"/>
    <mergeCell ref="D13:E13"/>
    <mergeCell ref="B3:E3"/>
    <mergeCell ref="B4:B17"/>
    <mergeCell ref="D24:D27"/>
    <mergeCell ref="C5:C15"/>
    <mergeCell ref="C4:E4"/>
    <mergeCell ref="D23:E23"/>
    <mergeCell ref="A18:A32"/>
    <mergeCell ref="B18:E18"/>
    <mergeCell ref="B19:B32"/>
    <mergeCell ref="C19:E19"/>
    <mergeCell ref="D20:E20"/>
    <mergeCell ref="D21:E21"/>
    <mergeCell ref="D29:E29"/>
    <mergeCell ref="C31:E31"/>
    <mergeCell ref="D30:E30"/>
    <mergeCell ref="C20:C30"/>
    <mergeCell ref="D28:E28"/>
    <mergeCell ref="C32:E32"/>
    <mergeCell ref="D14:E14"/>
    <mergeCell ref="D22:E22"/>
    <mergeCell ref="D5:E5"/>
    <mergeCell ref="D15:E15"/>
  </mergeCells>
  <printOptions/>
  <pageMargins left="0.7874015748031497" right="0.4724409448818898" top="0.984251968503937" bottom="0.984251968503937" header="0.5118110236220472" footer="0.5118110236220472"/>
  <pageSetup fitToHeight="1" fitToWidth="1" horizontalDpi="300" verticalDpi="300" orientation="portrait" paperSize="9" scale="89" r:id="rId1"/>
</worksheet>
</file>

<file path=xl/worksheets/sheet20.xml><?xml version="1.0" encoding="utf-8"?>
<worksheet xmlns="http://schemas.openxmlformats.org/spreadsheetml/2006/main" xmlns:r="http://schemas.openxmlformats.org/officeDocument/2006/relationships">
  <sheetPr codeName="Sheet20">
    <pageSetUpPr fitToPage="1"/>
  </sheetPr>
  <dimension ref="A1:K34"/>
  <sheetViews>
    <sheetView zoomScalePageLayoutView="0" workbookViewId="0" topLeftCell="A1">
      <selection activeCell="A1" sqref="A1:G1"/>
    </sheetView>
  </sheetViews>
  <sheetFormatPr defaultColWidth="9.00390625" defaultRowHeight="13.5"/>
  <cols>
    <col min="1" max="1" width="4.00390625" style="62" customWidth="1"/>
    <col min="2" max="2" width="2.125" style="62" customWidth="1"/>
    <col min="3" max="3" width="2.875" style="62" customWidth="1"/>
    <col min="4" max="4" width="19.50390625" style="62" customWidth="1"/>
    <col min="5" max="10" width="13.25390625" style="62" customWidth="1"/>
    <col min="11" max="11" width="14.875" style="62" customWidth="1"/>
    <col min="12" max="16384" width="9.00390625" style="62" customWidth="1"/>
  </cols>
  <sheetData>
    <row r="1" spans="1:11" ht="28.5" customHeight="1" thickBot="1">
      <c r="A1" s="917" t="s">
        <v>309</v>
      </c>
      <c r="B1" s="917"/>
      <c r="C1" s="917"/>
      <c r="D1" s="917"/>
      <c r="E1" s="917"/>
      <c r="F1" s="917"/>
      <c r="G1" s="917"/>
      <c r="K1" s="22" t="s">
        <v>130</v>
      </c>
    </row>
    <row r="2" spans="1:11" ht="12.75">
      <c r="A2" s="1157" t="s">
        <v>154</v>
      </c>
      <c r="B2" s="1158"/>
      <c r="C2" s="1158"/>
      <c r="D2" s="1159"/>
      <c r="E2" s="1166" t="s">
        <v>155</v>
      </c>
      <c r="F2" s="1166" t="s">
        <v>156</v>
      </c>
      <c r="G2" s="1166" t="s">
        <v>157</v>
      </c>
      <c r="H2" s="1154" t="s">
        <v>158</v>
      </c>
      <c r="I2" s="1143" t="s">
        <v>159</v>
      </c>
      <c r="J2" s="1143" t="s">
        <v>160</v>
      </c>
      <c r="K2" s="1146" t="s">
        <v>37</v>
      </c>
    </row>
    <row r="3" spans="1:11" ht="12.75">
      <c r="A3" s="1160"/>
      <c r="B3" s="1161"/>
      <c r="C3" s="1161"/>
      <c r="D3" s="1162"/>
      <c r="E3" s="1167"/>
      <c r="F3" s="1167"/>
      <c r="G3" s="1167"/>
      <c r="H3" s="1155"/>
      <c r="I3" s="1144"/>
      <c r="J3" s="1144"/>
      <c r="K3" s="1147"/>
    </row>
    <row r="4" spans="1:11" ht="13.5" thickBot="1">
      <c r="A4" s="1163"/>
      <c r="B4" s="1164"/>
      <c r="C4" s="1164"/>
      <c r="D4" s="1165"/>
      <c r="E4" s="1168"/>
      <c r="F4" s="1168"/>
      <c r="G4" s="1168"/>
      <c r="H4" s="1156"/>
      <c r="I4" s="1145"/>
      <c r="J4" s="1145"/>
      <c r="K4" s="1148"/>
    </row>
    <row r="5" spans="1:11" ht="16.5" customHeight="1">
      <c r="A5" s="1149" t="s">
        <v>139</v>
      </c>
      <c r="B5" s="1152" t="s">
        <v>161</v>
      </c>
      <c r="C5" s="1152"/>
      <c r="D5" s="1152"/>
      <c r="E5" s="430">
        <f>SUM(E6:E9,E13:E19)</f>
        <v>2950366</v>
      </c>
      <c r="F5" s="430">
        <f aca="true" t="shared" si="0" ref="F5:K5">SUM(F6:F9,F13:F19)</f>
        <v>46676</v>
      </c>
      <c r="G5" s="430">
        <f t="shared" si="0"/>
        <v>19431</v>
      </c>
      <c r="H5" s="430">
        <f t="shared" si="0"/>
        <v>44969</v>
      </c>
      <c r="I5" s="430">
        <f t="shared" si="0"/>
        <v>340551</v>
      </c>
      <c r="J5" s="430">
        <f t="shared" si="0"/>
        <v>236329</v>
      </c>
      <c r="K5" s="431">
        <f t="shared" si="0"/>
        <v>3638322</v>
      </c>
    </row>
    <row r="6" spans="1:11" ht="16.5" customHeight="1">
      <c r="A6" s="1150"/>
      <c r="B6" s="1140"/>
      <c r="C6" s="965" t="s">
        <v>30</v>
      </c>
      <c r="D6" s="965"/>
      <c r="E6" s="432"/>
      <c r="F6" s="432"/>
      <c r="G6" s="432"/>
      <c r="H6" s="432"/>
      <c r="I6" s="432"/>
      <c r="J6" s="432"/>
      <c r="K6" s="433"/>
    </row>
    <row r="7" spans="1:11" ht="16.5" customHeight="1">
      <c r="A7" s="1150"/>
      <c r="B7" s="1141"/>
      <c r="C7" s="965" t="s">
        <v>31</v>
      </c>
      <c r="D7" s="965"/>
      <c r="E7" s="432"/>
      <c r="F7" s="432"/>
      <c r="G7" s="432"/>
      <c r="H7" s="432"/>
      <c r="I7" s="432"/>
      <c r="J7" s="432"/>
      <c r="K7" s="433"/>
    </row>
    <row r="8" spans="1:11" ht="16.5" customHeight="1">
      <c r="A8" s="1150"/>
      <c r="B8" s="1141"/>
      <c r="C8" s="965" t="s">
        <v>32</v>
      </c>
      <c r="D8" s="965"/>
      <c r="E8" s="432"/>
      <c r="F8" s="432"/>
      <c r="G8" s="432"/>
      <c r="H8" s="432"/>
      <c r="I8" s="432"/>
      <c r="J8" s="432"/>
      <c r="K8" s="433"/>
    </row>
    <row r="9" spans="1:11" ht="16.5" customHeight="1">
      <c r="A9" s="1150"/>
      <c r="B9" s="1141"/>
      <c r="C9" s="965" t="s">
        <v>243</v>
      </c>
      <c r="D9" s="965"/>
      <c r="E9" s="426">
        <v>0</v>
      </c>
      <c r="F9" s="426">
        <v>0</v>
      </c>
      <c r="G9" s="426">
        <v>0</v>
      </c>
      <c r="H9" s="426">
        <v>0</v>
      </c>
      <c r="I9" s="426">
        <v>837</v>
      </c>
      <c r="J9" s="426">
        <v>0</v>
      </c>
      <c r="K9" s="434">
        <f>SUM(E9:J9)</f>
        <v>837</v>
      </c>
    </row>
    <row r="10" spans="1:11" ht="16.5" customHeight="1">
      <c r="A10" s="1150"/>
      <c r="B10" s="1141"/>
      <c r="C10" s="1133" t="s">
        <v>33</v>
      </c>
      <c r="D10" s="10" t="s">
        <v>34</v>
      </c>
      <c r="E10" s="426">
        <v>2774648</v>
      </c>
      <c r="F10" s="426">
        <v>43997</v>
      </c>
      <c r="G10" s="426">
        <v>17976</v>
      </c>
      <c r="H10" s="426">
        <v>41816</v>
      </c>
      <c r="I10" s="426">
        <v>100954</v>
      </c>
      <c r="J10" s="426">
        <v>0</v>
      </c>
      <c r="K10" s="434">
        <f aca="true" t="shared" si="1" ref="K10:K23">SUM(E10:J10)</f>
        <v>2979391</v>
      </c>
    </row>
    <row r="11" spans="1:11" ht="16.5" customHeight="1">
      <c r="A11" s="1150"/>
      <c r="B11" s="1141"/>
      <c r="C11" s="1134"/>
      <c r="D11" s="10" t="s">
        <v>35</v>
      </c>
      <c r="E11" s="426">
        <v>10925</v>
      </c>
      <c r="F11" s="426">
        <v>193</v>
      </c>
      <c r="G11" s="426">
        <v>75</v>
      </c>
      <c r="H11" s="426">
        <v>260</v>
      </c>
      <c r="I11" s="426">
        <v>375</v>
      </c>
      <c r="J11" s="426">
        <v>0</v>
      </c>
      <c r="K11" s="434">
        <f t="shared" si="1"/>
        <v>11828</v>
      </c>
    </row>
    <row r="12" spans="1:11" ht="16.5" customHeight="1">
      <c r="A12" s="1150"/>
      <c r="B12" s="1141"/>
      <c r="C12" s="1134"/>
      <c r="D12" s="10" t="s">
        <v>36</v>
      </c>
      <c r="E12" s="426">
        <v>3462</v>
      </c>
      <c r="F12" s="426">
        <v>62</v>
      </c>
      <c r="G12" s="426">
        <v>0</v>
      </c>
      <c r="H12" s="426">
        <v>97</v>
      </c>
      <c r="I12" s="426">
        <v>71</v>
      </c>
      <c r="J12" s="426">
        <v>0</v>
      </c>
      <c r="K12" s="434">
        <f t="shared" si="1"/>
        <v>3692</v>
      </c>
    </row>
    <row r="13" spans="1:11" ht="16.5" customHeight="1">
      <c r="A13" s="1150"/>
      <c r="B13" s="1141"/>
      <c r="C13" s="1058"/>
      <c r="D13" s="10" t="s">
        <v>37</v>
      </c>
      <c r="E13" s="426">
        <f aca="true" t="shared" si="2" ref="E13:J13">SUM(E10:E12)</f>
        <v>2789035</v>
      </c>
      <c r="F13" s="426">
        <f t="shared" si="2"/>
        <v>44252</v>
      </c>
      <c r="G13" s="426">
        <f t="shared" si="2"/>
        <v>18051</v>
      </c>
      <c r="H13" s="426">
        <f t="shared" si="2"/>
        <v>42173</v>
      </c>
      <c r="I13" s="426">
        <f t="shared" si="2"/>
        <v>101400</v>
      </c>
      <c r="J13" s="426">
        <f t="shared" si="2"/>
        <v>0</v>
      </c>
      <c r="K13" s="434">
        <f t="shared" si="1"/>
        <v>2994911</v>
      </c>
    </row>
    <row r="14" spans="1:11" ht="16.5" customHeight="1">
      <c r="A14" s="1150"/>
      <c r="B14" s="1141"/>
      <c r="C14" s="1051" t="s">
        <v>162</v>
      </c>
      <c r="D14" s="1052"/>
      <c r="E14" s="426">
        <v>152896</v>
      </c>
      <c r="F14" s="426">
        <v>2424</v>
      </c>
      <c r="G14" s="426">
        <v>1261</v>
      </c>
      <c r="H14" s="426">
        <v>2796</v>
      </c>
      <c r="I14" s="426">
        <v>487</v>
      </c>
      <c r="J14" s="426">
        <v>0</v>
      </c>
      <c r="K14" s="434">
        <f t="shared" si="1"/>
        <v>159864</v>
      </c>
    </row>
    <row r="15" spans="1:11" ht="16.5" customHeight="1">
      <c r="A15" s="1150"/>
      <c r="B15" s="1141"/>
      <c r="C15" s="965" t="s">
        <v>39</v>
      </c>
      <c r="D15" s="965"/>
      <c r="E15" s="426">
        <v>8435</v>
      </c>
      <c r="F15" s="426">
        <v>0</v>
      </c>
      <c r="G15" s="426">
        <v>119</v>
      </c>
      <c r="H15" s="432"/>
      <c r="I15" s="426">
        <v>7734</v>
      </c>
      <c r="J15" s="426">
        <v>0</v>
      </c>
      <c r="K15" s="434">
        <f t="shared" si="1"/>
        <v>16288</v>
      </c>
    </row>
    <row r="16" spans="1:11" ht="16.5" customHeight="1">
      <c r="A16" s="1150"/>
      <c r="B16" s="1141"/>
      <c r="C16" s="965" t="s">
        <v>316</v>
      </c>
      <c r="D16" s="965"/>
      <c r="E16" s="432"/>
      <c r="F16" s="432"/>
      <c r="G16" s="432"/>
      <c r="H16" s="432"/>
      <c r="I16" s="432"/>
      <c r="J16" s="432"/>
      <c r="K16" s="433"/>
    </row>
    <row r="17" spans="1:11" ht="16.5" customHeight="1">
      <c r="A17" s="1150"/>
      <c r="B17" s="1141"/>
      <c r="C17" s="965" t="s">
        <v>327</v>
      </c>
      <c r="D17" s="965"/>
      <c r="E17" s="432"/>
      <c r="F17" s="432"/>
      <c r="G17" s="432"/>
      <c r="H17" s="432"/>
      <c r="I17" s="432"/>
      <c r="J17" s="432"/>
      <c r="K17" s="433"/>
    </row>
    <row r="18" spans="1:11" ht="16.5" customHeight="1">
      <c r="A18" s="1150"/>
      <c r="B18" s="1141"/>
      <c r="C18" s="1051" t="s">
        <v>238</v>
      </c>
      <c r="D18" s="1130"/>
      <c r="E18" s="432"/>
      <c r="F18" s="432"/>
      <c r="G18" s="426">
        <v>0</v>
      </c>
      <c r="H18" s="432"/>
      <c r="I18" s="426">
        <v>57551</v>
      </c>
      <c r="J18" s="426">
        <v>0</v>
      </c>
      <c r="K18" s="434">
        <f t="shared" si="1"/>
        <v>57551</v>
      </c>
    </row>
    <row r="19" spans="1:11" ht="16.5" customHeight="1" thickBot="1">
      <c r="A19" s="1151"/>
      <c r="B19" s="1153"/>
      <c r="C19" s="1135" t="s">
        <v>239</v>
      </c>
      <c r="D19" s="1136"/>
      <c r="E19" s="435"/>
      <c r="F19" s="435"/>
      <c r="G19" s="436">
        <v>0</v>
      </c>
      <c r="H19" s="435"/>
      <c r="I19" s="436">
        <v>172542</v>
      </c>
      <c r="J19" s="436">
        <v>236329</v>
      </c>
      <c r="K19" s="437">
        <f>SUM(E19:J19)</f>
        <v>408871</v>
      </c>
    </row>
    <row r="20" spans="1:11" ht="16.5" customHeight="1" thickTop="1">
      <c r="A20" s="1137" t="s">
        <v>152</v>
      </c>
      <c r="B20" s="1139" t="s">
        <v>161</v>
      </c>
      <c r="C20" s="1139"/>
      <c r="D20" s="1139"/>
      <c r="E20" s="438">
        <f aca="true" t="shared" si="3" ref="E20:J20">SUM(E21:E34)</f>
        <v>40274</v>
      </c>
      <c r="F20" s="438">
        <f t="shared" si="3"/>
        <v>0</v>
      </c>
      <c r="G20" s="438">
        <f t="shared" si="3"/>
        <v>0</v>
      </c>
      <c r="H20" s="438">
        <f t="shared" si="3"/>
        <v>43730</v>
      </c>
      <c r="I20" s="438">
        <f t="shared" si="3"/>
        <v>661914</v>
      </c>
      <c r="J20" s="438">
        <f t="shared" si="3"/>
        <v>3169</v>
      </c>
      <c r="K20" s="439">
        <f t="shared" si="1"/>
        <v>749087</v>
      </c>
    </row>
    <row r="21" spans="1:11" ht="16.5" customHeight="1">
      <c r="A21" s="1137"/>
      <c r="B21" s="1140"/>
      <c r="C21" s="965" t="s">
        <v>30</v>
      </c>
      <c r="D21" s="965"/>
      <c r="E21" s="426">
        <v>0</v>
      </c>
      <c r="F21" s="426">
        <v>0</v>
      </c>
      <c r="G21" s="426">
        <v>0</v>
      </c>
      <c r="H21" s="426">
        <v>293</v>
      </c>
      <c r="I21" s="426">
        <v>8846</v>
      </c>
      <c r="J21" s="426">
        <v>0</v>
      </c>
      <c r="K21" s="434">
        <f>SUM(E21:J21)</f>
        <v>9139</v>
      </c>
    </row>
    <row r="22" spans="1:11" ht="16.5" customHeight="1">
      <c r="A22" s="1137"/>
      <c r="B22" s="1141"/>
      <c r="C22" s="965" t="s">
        <v>31</v>
      </c>
      <c r="D22" s="965"/>
      <c r="E22" s="432"/>
      <c r="F22" s="432"/>
      <c r="G22" s="432"/>
      <c r="H22" s="426">
        <v>27918</v>
      </c>
      <c r="I22" s="426">
        <v>33366</v>
      </c>
      <c r="J22" s="426">
        <v>0</v>
      </c>
      <c r="K22" s="434">
        <f t="shared" si="1"/>
        <v>61284</v>
      </c>
    </row>
    <row r="23" spans="1:11" ht="16.5" customHeight="1">
      <c r="A23" s="1137"/>
      <c r="B23" s="1141"/>
      <c r="C23" s="965" t="s">
        <v>32</v>
      </c>
      <c r="D23" s="965"/>
      <c r="E23" s="432"/>
      <c r="F23" s="432"/>
      <c r="G23" s="426"/>
      <c r="H23" s="426">
        <v>15052</v>
      </c>
      <c r="I23" s="426">
        <v>20134</v>
      </c>
      <c r="J23" s="426">
        <v>0</v>
      </c>
      <c r="K23" s="434">
        <f t="shared" si="1"/>
        <v>35186</v>
      </c>
    </row>
    <row r="24" spans="1:11" ht="16.5" customHeight="1">
      <c r="A24" s="1137"/>
      <c r="B24" s="1141"/>
      <c r="C24" s="965" t="s">
        <v>243</v>
      </c>
      <c r="D24" s="965"/>
      <c r="E24" s="432"/>
      <c r="F24" s="432"/>
      <c r="G24" s="440"/>
      <c r="H24" s="432"/>
      <c r="I24" s="432"/>
      <c r="J24" s="432"/>
      <c r="K24" s="433"/>
    </row>
    <row r="25" spans="1:11" ht="16.5" customHeight="1">
      <c r="A25" s="1137"/>
      <c r="B25" s="1141"/>
      <c r="C25" s="1133" t="s">
        <v>33</v>
      </c>
      <c r="D25" s="10" t="s">
        <v>34</v>
      </c>
      <c r="E25" s="432"/>
      <c r="F25" s="432"/>
      <c r="G25" s="432"/>
      <c r="H25" s="432"/>
      <c r="I25" s="432"/>
      <c r="J25" s="432"/>
      <c r="K25" s="433"/>
    </row>
    <row r="26" spans="1:11" ht="16.5" customHeight="1">
      <c r="A26" s="1137"/>
      <c r="B26" s="1141"/>
      <c r="C26" s="1134"/>
      <c r="D26" s="10" t="s">
        <v>35</v>
      </c>
      <c r="E26" s="432"/>
      <c r="F26" s="432"/>
      <c r="G26" s="432"/>
      <c r="H26" s="432"/>
      <c r="I26" s="432"/>
      <c r="J26" s="432"/>
      <c r="K26" s="433"/>
    </row>
    <row r="27" spans="1:11" ht="16.5" customHeight="1">
      <c r="A27" s="1137"/>
      <c r="B27" s="1141"/>
      <c r="C27" s="1134"/>
      <c r="D27" s="10" t="s">
        <v>36</v>
      </c>
      <c r="E27" s="432"/>
      <c r="F27" s="432"/>
      <c r="G27" s="432"/>
      <c r="H27" s="432"/>
      <c r="I27" s="432"/>
      <c r="J27" s="432"/>
      <c r="K27" s="433"/>
    </row>
    <row r="28" spans="1:11" ht="16.5" customHeight="1">
      <c r="A28" s="1137"/>
      <c r="B28" s="1141"/>
      <c r="C28" s="1058"/>
      <c r="D28" s="10" t="s">
        <v>37</v>
      </c>
      <c r="E28" s="432"/>
      <c r="F28" s="432"/>
      <c r="G28" s="432"/>
      <c r="H28" s="432"/>
      <c r="I28" s="432"/>
      <c r="J28" s="432"/>
      <c r="K28" s="433"/>
    </row>
    <row r="29" spans="1:11" ht="16.5" customHeight="1">
      <c r="A29" s="1137"/>
      <c r="B29" s="1141"/>
      <c r="C29" s="1051" t="s">
        <v>162</v>
      </c>
      <c r="D29" s="1130"/>
      <c r="E29" s="432"/>
      <c r="F29" s="432"/>
      <c r="G29" s="432"/>
      <c r="H29" s="432"/>
      <c r="I29" s="432"/>
      <c r="J29" s="432"/>
      <c r="K29" s="433"/>
    </row>
    <row r="30" spans="1:11" ht="16.5" customHeight="1">
      <c r="A30" s="1137"/>
      <c r="B30" s="1141"/>
      <c r="C30" s="965" t="s">
        <v>39</v>
      </c>
      <c r="D30" s="965"/>
      <c r="E30" s="432"/>
      <c r="F30" s="432"/>
      <c r="G30" s="432"/>
      <c r="H30" s="432"/>
      <c r="I30" s="432"/>
      <c r="J30" s="432"/>
      <c r="K30" s="433"/>
    </row>
    <row r="31" spans="1:11" ht="16.5" customHeight="1">
      <c r="A31" s="1137"/>
      <c r="B31" s="1141"/>
      <c r="C31" s="965" t="s">
        <v>316</v>
      </c>
      <c r="D31" s="965"/>
      <c r="E31" s="426">
        <v>40274</v>
      </c>
      <c r="F31" s="426">
        <v>0</v>
      </c>
      <c r="G31" s="426">
        <v>0</v>
      </c>
      <c r="H31" s="426">
        <v>467</v>
      </c>
      <c r="I31" s="426">
        <v>13724</v>
      </c>
      <c r="J31" s="426">
        <v>0</v>
      </c>
      <c r="K31" s="434">
        <f>SUM(E31:J31)</f>
        <v>54465</v>
      </c>
    </row>
    <row r="32" spans="1:11" ht="16.5" customHeight="1">
      <c r="A32" s="1137"/>
      <c r="B32" s="1141"/>
      <c r="C32" s="965" t="s">
        <v>327</v>
      </c>
      <c r="D32" s="965"/>
      <c r="E32" s="432"/>
      <c r="F32" s="432"/>
      <c r="G32" s="440"/>
      <c r="H32" s="432"/>
      <c r="I32" s="432"/>
      <c r="J32" s="432"/>
      <c r="K32" s="433"/>
    </row>
    <row r="33" spans="1:11" ht="16.5" customHeight="1">
      <c r="A33" s="1137"/>
      <c r="B33" s="1141"/>
      <c r="C33" s="1051" t="s">
        <v>238</v>
      </c>
      <c r="D33" s="1130"/>
      <c r="E33" s="432"/>
      <c r="F33" s="432"/>
      <c r="G33" s="426">
        <v>0</v>
      </c>
      <c r="H33" s="432"/>
      <c r="I33" s="426">
        <v>511520</v>
      </c>
      <c r="J33" s="426">
        <v>0</v>
      </c>
      <c r="K33" s="434">
        <f>SUM(E33:J33)</f>
        <v>511520</v>
      </c>
    </row>
    <row r="34" spans="1:11" ht="16.5" customHeight="1" thickBot="1">
      <c r="A34" s="1138"/>
      <c r="B34" s="1142"/>
      <c r="C34" s="1131" t="s">
        <v>239</v>
      </c>
      <c r="D34" s="1132"/>
      <c r="E34" s="441"/>
      <c r="F34" s="441"/>
      <c r="G34" s="442">
        <v>0</v>
      </c>
      <c r="H34" s="441"/>
      <c r="I34" s="442">
        <v>74324</v>
      </c>
      <c r="J34" s="442">
        <v>3169</v>
      </c>
      <c r="K34" s="443">
        <f>SUM(E34:J34)</f>
        <v>77493</v>
      </c>
    </row>
  </sheetData>
  <sheetProtection/>
  <mergeCells count="37">
    <mergeCell ref="C9:D9"/>
    <mergeCell ref="H2:H4"/>
    <mergeCell ref="A1:G1"/>
    <mergeCell ref="A2:D4"/>
    <mergeCell ref="E2:E4"/>
    <mergeCell ref="F2:F4"/>
    <mergeCell ref="G2:G4"/>
    <mergeCell ref="C30:D30"/>
    <mergeCell ref="I2:I4"/>
    <mergeCell ref="J2:J4"/>
    <mergeCell ref="K2:K4"/>
    <mergeCell ref="A5:A19"/>
    <mergeCell ref="B5:D5"/>
    <mergeCell ref="B6:B19"/>
    <mergeCell ref="C6:D6"/>
    <mergeCell ref="C7:D7"/>
    <mergeCell ref="C8:D8"/>
    <mergeCell ref="C17:D17"/>
    <mergeCell ref="A20:A34"/>
    <mergeCell ref="B20:D20"/>
    <mergeCell ref="B21:B34"/>
    <mergeCell ref="C21:D21"/>
    <mergeCell ref="C22:D22"/>
    <mergeCell ref="C23:D23"/>
    <mergeCell ref="C24:D24"/>
    <mergeCell ref="C25:C28"/>
    <mergeCell ref="C29:D29"/>
    <mergeCell ref="C32:D32"/>
    <mergeCell ref="C33:D33"/>
    <mergeCell ref="C34:D34"/>
    <mergeCell ref="C10:C13"/>
    <mergeCell ref="C14:D14"/>
    <mergeCell ref="C15:D15"/>
    <mergeCell ref="C18:D18"/>
    <mergeCell ref="C19:D19"/>
    <mergeCell ref="C16:D16"/>
    <mergeCell ref="C31:D31"/>
  </mergeCells>
  <printOptions/>
  <pageMargins left="0.75" right="0.75" top="0.8" bottom="0.54" header="0.512" footer="0.512"/>
  <pageSetup fitToHeight="1" fitToWidth="1" horizontalDpi="300" verticalDpi="300" orientation="landscape" paperSize="9" scale="91" r:id="rId1"/>
</worksheet>
</file>

<file path=xl/worksheets/sheet21.xml><?xml version="1.0" encoding="utf-8"?>
<worksheet xmlns="http://schemas.openxmlformats.org/spreadsheetml/2006/main" xmlns:r="http://schemas.openxmlformats.org/officeDocument/2006/relationships">
  <sheetPr codeName="Sheet21"/>
  <dimension ref="A2:AB76"/>
  <sheetViews>
    <sheetView zoomScalePageLayoutView="0" workbookViewId="0" topLeftCell="A1">
      <selection activeCell="A1" sqref="A1"/>
    </sheetView>
  </sheetViews>
  <sheetFormatPr defaultColWidth="9.00390625" defaultRowHeight="13.5"/>
  <cols>
    <col min="1" max="1" width="4.00390625" style="0" customWidth="1"/>
    <col min="2" max="2" width="13.875" style="0" customWidth="1"/>
    <col min="3" max="3" width="34.875" style="0" customWidth="1"/>
    <col min="4" max="5" width="17.375" style="0" customWidth="1"/>
    <col min="6" max="6" width="17.125" style="0" customWidth="1"/>
    <col min="7" max="7" width="11.50390625" style="0" customWidth="1"/>
    <col min="8" max="9" width="15.625" style="0" customWidth="1"/>
    <col min="10" max="10" width="16.25390625" style="0" customWidth="1"/>
    <col min="11" max="11" width="12.25390625" style="0" bestFit="1" customWidth="1"/>
    <col min="12" max="13" width="15.625" style="0" customWidth="1"/>
    <col min="14" max="14" width="17.50390625" style="0" customWidth="1"/>
    <col min="15" max="15" width="10.875" style="0" bestFit="1" customWidth="1"/>
    <col min="16" max="17" width="15.625" style="0" customWidth="1"/>
    <col min="18" max="18" width="17.25390625" style="0" customWidth="1"/>
    <col min="19" max="19" width="11.125" style="0" customWidth="1"/>
    <col min="20" max="21" width="15.50390625" style="0" customWidth="1"/>
    <col min="22" max="22" width="17.25390625" style="0" customWidth="1"/>
    <col min="23" max="23" width="12.25390625" style="0" customWidth="1"/>
    <col min="24" max="25" width="15.625" style="0" customWidth="1"/>
    <col min="26" max="26" width="16.00390625" style="0" customWidth="1"/>
    <col min="27" max="27" width="11.75390625" style="0" customWidth="1"/>
  </cols>
  <sheetData>
    <row r="2" spans="2:26" ht="41.25">
      <c r="B2" s="63" t="s">
        <v>310</v>
      </c>
      <c r="L2" s="64"/>
      <c r="Q2" s="64" t="s">
        <v>318</v>
      </c>
      <c r="T2" s="64"/>
      <c r="Z2" s="185" t="s">
        <v>58</v>
      </c>
    </row>
    <row r="3" ht="13.5" thickBot="1"/>
    <row r="4" spans="1:27" s="65" customFormat="1" ht="24" customHeight="1">
      <c r="A4" s="1178" t="s">
        <v>165</v>
      </c>
      <c r="B4" s="1179"/>
      <c r="C4" s="1180"/>
      <c r="D4" s="1187" t="s">
        <v>166</v>
      </c>
      <c r="E4" s="1188"/>
      <c r="F4" s="1188"/>
      <c r="G4" s="1189"/>
      <c r="H4" s="1193" t="s">
        <v>167</v>
      </c>
      <c r="I4" s="1194"/>
      <c r="J4" s="1194"/>
      <c r="K4" s="1194"/>
      <c r="L4" s="1194"/>
      <c r="M4" s="1194"/>
      <c r="N4" s="1194"/>
      <c r="O4" s="1194"/>
      <c r="P4" s="1194"/>
      <c r="Q4" s="1194"/>
      <c r="R4" s="1194"/>
      <c r="S4" s="1194"/>
      <c r="T4" s="1194"/>
      <c r="U4" s="1194"/>
      <c r="V4" s="1194"/>
      <c r="W4" s="1194"/>
      <c r="X4" s="1194"/>
      <c r="Y4" s="1194"/>
      <c r="Z4" s="1194"/>
      <c r="AA4" s="1195"/>
    </row>
    <row r="5" spans="1:27" s="65" customFormat="1" ht="24" customHeight="1">
      <c r="A5" s="1181"/>
      <c r="B5" s="1182"/>
      <c r="C5" s="1183"/>
      <c r="D5" s="1190"/>
      <c r="E5" s="1191"/>
      <c r="F5" s="1191"/>
      <c r="G5" s="1192"/>
      <c r="H5" s="1196" t="s">
        <v>270</v>
      </c>
      <c r="I5" s="1197"/>
      <c r="J5" s="1197"/>
      <c r="K5" s="1198"/>
      <c r="L5" s="1175" t="s">
        <v>247</v>
      </c>
      <c r="M5" s="1199"/>
      <c r="N5" s="1199"/>
      <c r="O5" s="1199"/>
      <c r="P5" s="1175" t="s">
        <v>271</v>
      </c>
      <c r="Q5" s="1175"/>
      <c r="R5" s="1175"/>
      <c r="S5" s="1175"/>
      <c r="T5" s="1175" t="s">
        <v>284</v>
      </c>
      <c r="U5" s="1175"/>
      <c r="V5" s="1175"/>
      <c r="W5" s="1175"/>
      <c r="X5" s="1175" t="s">
        <v>254</v>
      </c>
      <c r="Y5" s="1175"/>
      <c r="Z5" s="1175"/>
      <c r="AA5" s="1176"/>
    </row>
    <row r="6" spans="1:27" s="65" customFormat="1" ht="24" customHeight="1">
      <c r="A6" s="1184"/>
      <c r="B6" s="1185"/>
      <c r="C6" s="1186"/>
      <c r="D6" s="68" t="s">
        <v>169</v>
      </c>
      <c r="E6" s="68" t="s">
        <v>170</v>
      </c>
      <c r="F6" s="68" t="s">
        <v>171</v>
      </c>
      <c r="G6" s="69" t="s">
        <v>172</v>
      </c>
      <c r="H6" s="70" t="s">
        <v>169</v>
      </c>
      <c r="I6" s="70" t="s">
        <v>170</v>
      </c>
      <c r="J6" s="68" t="s">
        <v>173</v>
      </c>
      <c r="K6" s="69" t="s">
        <v>172</v>
      </c>
      <c r="L6" s="71" t="s">
        <v>174</v>
      </c>
      <c r="M6" s="70" t="s">
        <v>170</v>
      </c>
      <c r="N6" s="68" t="s">
        <v>173</v>
      </c>
      <c r="O6" s="69" t="s">
        <v>172</v>
      </c>
      <c r="P6" s="70" t="s">
        <v>169</v>
      </c>
      <c r="Q6" s="70" t="s">
        <v>170</v>
      </c>
      <c r="R6" s="68" t="s">
        <v>173</v>
      </c>
      <c r="S6" s="69" t="s">
        <v>172</v>
      </c>
      <c r="T6" s="70" t="s">
        <v>169</v>
      </c>
      <c r="U6" s="70" t="s">
        <v>170</v>
      </c>
      <c r="V6" s="68" t="s">
        <v>173</v>
      </c>
      <c r="W6" s="69" t="s">
        <v>172</v>
      </c>
      <c r="X6" s="70" t="s">
        <v>169</v>
      </c>
      <c r="Y6" s="70" t="s">
        <v>170</v>
      </c>
      <c r="Z6" s="68" t="s">
        <v>173</v>
      </c>
      <c r="AA6" s="137" t="s">
        <v>172</v>
      </c>
    </row>
    <row r="7" spans="1:27" ht="23.25" customHeight="1">
      <c r="A7" s="126"/>
      <c r="B7" s="72"/>
      <c r="C7" s="73"/>
      <c r="D7" s="266"/>
      <c r="E7" s="267"/>
      <c r="F7" s="268"/>
      <c r="G7" s="269"/>
      <c r="H7" s="266"/>
      <c r="I7" s="270"/>
      <c r="J7" s="271"/>
      <c r="K7" s="272"/>
      <c r="L7" s="266"/>
      <c r="M7" s="267"/>
      <c r="N7" s="268"/>
      <c r="O7" s="269"/>
      <c r="P7" s="266"/>
      <c r="Q7" s="270"/>
      <c r="R7" s="271"/>
      <c r="S7" s="269"/>
      <c r="T7" s="266"/>
      <c r="U7" s="270"/>
      <c r="V7" s="271"/>
      <c r="W7" s="269"/>
      <c r="X7" s="266"/>
      <c r="Y7" s="267"/>
      <c r="Z7" s="268"/>
      <c r="AA7" s="465"/>
    </row>
    <row r="8" spans="1:27" s="74" customFormat="1" ht="23.25" customHeight="1">
      <c r="A8" s="131" t="s">
        <v>175</v>
      </c>
      <c r="B8" s="128"/>
      <c r="C8" s="75"/>
      <c r="D8" s="274">
        <f>D10+D25+D37</f>
        <v>191113147</v>
      </c>
      <c r="E8" s="275">
        <f>E10+E25+E37</f>
        <v>184853627</v>
      </c>
      <c r="F8" s="249">
        <f>E8-D8</f>
        <v>-6259520</v>
      </c>
      <c r="G8" s="276">
        <f>_xlfn.IFERROR(F8/D8*100,"")</f>
        <v>-3.2752953411415495</v>
      </c>
      <c r="H8" s="274">
        <f>H10+H25+H37</f>
        <v>22446104</v>
      </c>
      <c r="I8" s="275">
        <f>I10+I25+I37</f>
        <v>23908608</v>
      </c>
      <c r="J8" s="249">
        <f>I8-H8</f>
        <v>1462504</v>
      </c>
      <c r="K8" s="276">
        <f>_xlfn.IFERROR(J8/H8*100,"")</f>
        <v>6.515625161497959</v>
      </c>
      <c r="L8" s="274">
        <f>L10+L25+L37</f>
        <v>102491338</v>
      </c>
      <c r="M8" s="275">
        <f>M10+M25+M37</f>
        <v>101011268</v>
      </c>
      <c r="N8" s="249">
        <f>M8-L8</f>
        <v>-1480070</v>
      </c>
      <c r="O8" s="276">
        <f>_xlfn.IFERROR(N8/L8*100,"")</f>
        <v>-1.444092768112755</v>
      </c>
      <c r="P8" s="274">
        <f>P10+P25+P37</f>
        <v>51943192</v>
      </c>
      <c r="Q8" s="275">
        <f>Q10+Q25+Q37</f>
        <v>52838213</v>
      </c>
      <c r="R8" s="249">
        <f>Q8-P8</f>
        <v>895021</v>
      </c>
      <c r="S8" s="276">
        <f>_xlfn.IFERROR(R8/P8*100,"")</f>
        <v>1.7230766257106418</v>
      </c>
      <c r="T8" s="274">
        <f>T10+T25+T37</f>
        <v>14185828</v>
      </c>
      <c r="U8" s="275">
        <f>U10+U25+U37</f>
        <v>7070550</v>
      </c>
      <c r="V8" s="249">
        <f>U8-T8</f>
        <v>-7115278</v>
      </c>
      <c r="W8" s="276">
        <f>_xlfn.IFERROR(V8/T8*100,"")</f>
        <v>-50.15765029718392</v>
      </c>
      <c r="X8" s="274">
        <f>X10+X25+X37</f>
        <v>19027</v>
      </c>
      <c r="Y8" s="275">
        <f>Y10+Y25+Y37</f>
        <v>800</v>
      </c>
      <c r="Z8" s="277">
        <f>Y8-X8</f>
        <v>-18227</v>
      </c>
      <c r="AA8" s="278">
        <f>_xlfn.IFERROR(Z8/X8*100,"")</f>
        <v>-95.79544857308035</v>
      </c>
    </row>
    <row r="9" spans="1:27" s="74" customFormat="1" ht="23.25" customHeight="1">
      <c r="A9" s="132"/>
      <c r="B9" s="129"/>
      <c r="C9" s="76"/>
      <c r="D9" s="279"/>
      <c r="E9" s="280"/>
      <c r="F9" s="149"/>
      <c r="G9" s="281"/>
      <c r="H9" s="279"/>
      <c r="I9" s="280"/>
      <c r="J9" s="149"/>
      <c r="K9" s="282"/>
      <c r="L9" s="279"/>
      <c r="M9" s="280"/>
      <c r="N9" s="283"/>
      <c r="O9" s="284"/>
      <c r="P9" s="279"/>
      <c r="Q9" s="280"/>
      <c r="R9" s="149"/>
      <c r="S9" s="284"/>
      <c r="T9" s="279"/>
      <c r="U9" s="280"/>
      <c r="V9" s="149"/>
      <c r="W9" s="284"/>
      <c r="X9" s="279"/>
      <c r="Y9" s="280"/>
      <c r="Z9" s="285"/>
      <c r="AA9" s="475"/>
    </row>
    <row r="10" spans="1:27" s="74" customFormat="1" ht="23.25" customHeight="1">
      <c r="A10" s="132"/>
      <c r="B10" s="128" t="s">
        <v>176</v>
      </c>
      <c r="C10" s="75" t="s">
        <v>135</v>
      </c>
      <c r="D10" s="274">
        <f aca="true" t="shared" si="0" ref="D10:D21">H10+L10+P10+T10+X10</f>
        <v>157069683</v>
      </c>
      <c r="E10" s="275">
        <f>SUM(E11:E23)</f>
        <v>155155034</v>
      </c>
      <c r="F10" s="249">
        <f>E10-D10</f>
        <v>-1914649</v>
      </c>
      <c r="G10" s="276">
        <f>_xlfn.IFERROR(F10/D10*100,"")</f>
        <v>-1.2189806227596447</v>
      </c>
      <c r="H10" s="274">
        <f>SUM(H11:H23)</f>
        <v>21946739</v>
      </c>
      <c r="I10" s="275">
        <f>SUM(I11:I23)</f>
        <v>23501852</v>
      </c>
      <c r="J10" s="249">
        <f aca="true" t="shared" si="1" ref="J10:J21">I10-H10</f>
        <v>1555113</v>
      </c>
      <c r="K10" s="276">
        <f aca="true" t="shared" si="2" ref="K10:K23">_xlfn.IFERROR(J10/H10*100,"")</f>
        <v>7.085849975251449</v>
      </c>
      <c r="L10" s="274">
        <f>SUM(L11:L23)</f>
        <v>96086436</v>
      </c>
      <c r="M10" s="275">
        <f>SUM(M11:M23)</f>
        <v>94711638</v>
      </c>
      <c r="N10" s="249">
        <f aca="true" t="shared" si="3" ref="N10:N21">M10-L10</f>
        <v>-1374798</v>
      </c>
      <c r="O10" s="276">
        <f aca="true" t="shared" si="4" ref="O10:O23">_xlfn.IFERROR(N10/L10*100,"")</f>
        <v>-1.4307929997528475</v>
      </c>
      <c r="P10" s="274">
        <f>SUM(P11:P23)</f>
        <v>28807580</v>
      </c>
      <c r="Q10" s="275">
        <f>SUM(Q11:Q23)</f>
        <v>31217674</v>
      </c>
      <c r="R10" s="249">
        <f aca="true" t="shared" si="5" ref="R10:R21">Q10-P10</f>
        <v>2410094</v>
      </c>
      <c r="S10" s="276">
        <f aca="true" t="shared" si="6" ref="S10:S23">_xlfn.IFERROR(R10/P10*100,"")</f>
        <v>8.366180012343975</v>
      </c>
      <c r="T10" s="274">
        <f>SUM(T11:T23)</f>
        <v>10217528</v>
      </c>
      <c r="U10" s="275">
        <f>SUM(U11:U23)</f>
        <v>5723290</v>
      </c>
      <c r="V10" s="249">
        <f aca="true" t="shared" si="7" ref="V10:V21">U10-T10</f>
        <v>-4494238</v>
      </c>
      <c r="W10" s="276">
        <f aca="true" t="shared" si="8" ref="W10:W23">_xlfn.IFERROR(V10/T10*100,"")</f>
        <v>-43.98557067815229</v>
      </c>
      <c r="X10" s="274">
        <f>SUM(X11:X23)</f>
        <v>11400</v>
      </c>
      <c r="Y10" s="275">
        <f>SUM(Y11:Y23)</f>
        <v>580</v>
      </c>
      <c r="Z10" s="277">
        <f aca="true" t="shared" si="9" ref="Z10:Z37">Y10-X10</f>
        <v>-10820</v>
      </c>
      <c r="AA10" s="278">
        <f aca="true" t="shared" si="10" ref="AA10:AA23">_xlfn.IFERROR(Z10/X10*100,"")</f>
        <v>-94.91228070175438</v>
      </c>
    </row>
    <row r="11" spans="1:27" s="74" customFormat="1" ht="23.25" customHeight="1">
      <c r="A11" s="132"/>
      <c r="B11" s="129"/>
      <c r="C11" s="76" t="s">
        <v>177</v>
      </c>
      <c r="D11" s="286">
        <f>H11+L11+P11+T11+X11</f>
        <v>2049404</v>
      </c>
      <c r="E11" s="287">
        <f>I11+M11+Q11+U11+Y11</f>
        <v>1644298</v>
      </c>
      <c r="F11" s="149">
        <f aca="true" t="shared" si="11" ref="F11:F37">E11-D11</f>
        <v>-405106</v>
      </c>
      <c r="G11" s="282">
        <f aca="true" t="shared" si="12" ref="G11:G23">_xlfn.IFERROR(F11/D11*100,"")</f>
        <v>-19.767015190757895</v>
      </c>
      <c r="H11" s="288">
        <f>SUM('表２１－２:表２１－３'!H11)</f>
        <v>60106</v>
      </c>
      <c r="I11" s="428">
        <f>SUM('表２１－２:表２１－３'!I11)</f>
        <v>3881</v>
      </c>
      <c r="J11" s="149">
        <f t="shared" si="1"/>
        <v>-56225</v>
      </c>
      <c r="K11" s="282">
        <f t="shared" si="2"/>
        <v>-93.54307390277177</v>
      </c>
      <c r="L11" s="290">
        <f>SUM('表２１－２:表２１－３'!L11)</f>
        <v>1893</v>
      </c>
      <c r="M11" s="291">
        <f>SUM('表２１－２:表２１－３'!M11)</f>
        <v>8373</v>
      </c>
      <c r="N11" s="149">
        <f t="shared" si="3"/>
        <v>6480</v>
      </c>
      <c r="O11" s="282">
        <f t="shared" si="4"/>
        <v>342.31378763866877</v>
      </c>
      <c r="P11" s="290">
        <f>SUM('表２１－２:表２１－３'!P11)</f>
        <v>1834740</v>
      </c>
      <c r="Q11" s="291">
        <f>SUM('表２１－２:表２１－３'!Q11)</f>
        <v>1569344</v>
      </c>
      <c r="R11" s="149">
        <f t="shared" si="5"/>
        <v>-265396</v>
      </c>
      <c r="S11" s="282">
        <f t="shared" si="6"/>
        <v>-14.4650468186228</v>
      </c>
      <c r="T11" s="290">
        <f>SUM('表２１－２:表２１－３'!T11)</f>
        <v>152665</v>
      </c>
      <c r="U11" s="291">
        <f>SUM('表２１－２:表２１－３'!U11)</f>
        <v>62700</v>
      </c>
      <c r="V11" s="149">
        <f t="shared" si="7"/>
        <v>-89965</v>
      </c>
      <c r="W11" s="282">
        <f t="shared" si="8"/>
        <v>-58.92968263845675</v>
      </c>
      <c r="X11" s="290">
        <f>SUM('表２１－２:表２１－３'!X11)</f>
        <v>0</v>
      </c>
      <c r="Y11" s="291">
        <f>SUM('表２１－２:表２１－３'!Y11)</f>
        <v>0</v>
      </c>
      <c r="Z11" s="285">
        <f t="shared" si="9"/>
        <v>0</v>
      </c>
      <c r="AA11" s="250">
        <f t="shared" si="10"/>
      </c>
    </row>
    <row r="12" spans="1:27" s="74" customFormat="1" ht="23.25" customHeight="1">
      <c r="A12" s="132"/>
      <c r="B12" s="129"/>
      <c r="C12" s="76" t="s">
        <v>178</v>
      </c>
      <c r="D12" s="286">
        <f t="shared" si="0"/>
        <v>70152070</v>
      </c>
      <c r="E12" s="287">
        <f aca="true" t="shared" si="13" ref="E12:E21">I12+M12+Q12+U12+Y12</f>
        <v>68862366</v>
      </c>
      <c r="F12" s="149">
        <f t="shared" si="11"/>
        <v>-1289704</v>
      </c>
      <c r="G12" s="282">
        <f t="shared" si="12"/>
        <v>-1.8384404052510497</v>
      </c>
      <c r="H12" s="288">
        <f>SUM('表２１－２:表２１－３'!H12)</f>
        <v>12558668</v>
      </c>
      <c r="I12" s="289">
        <f>SUM('表２１－２:表２１－３'!I12)</f>
        <v>13683061</v>
      </c>
      <c r="J12" s="149">
        <f t="shared" si="1"/>
        <v>1124393</v>
      </c>
      <c r="K12" s="282">
        <f t="shared" si="2"/>
        <v>8.953123054132812</v>
      </c>
      <c r="L12" s="290">
        <f>SUM('表２１－２:表２１－３'!L12)</f>
        <v>34597865</v>
      </c>
      <c r="M12" s="291">
        <f>SUM('表２１－２:表２１－３'!M12)</f>
        <v>32905437</v>
      </c>
      <c r="N12" s="149">
        <f t="shared" si="3"/>
        <v>-1692428</v>
      </c>
      <c r="O12" s="282">
        <f t="shared" si="4"/>
        <v>-4.891712248718237</v>
      </c>
      <c r="P12" s="290">
        <f>SUM('表２１－２:表２１－３'!P12)</f>
        <v>16987599</v>
      </c>
      <c r="Q12" s="291">
        <f>SUM('表２１－２:表２１－３'!Q12)</f>
        <v>18842796</v>
      </c>
      <c r="R12" s="149">
        <f t="shared" si="5"/>
        <v>1855197</v>
      </c>
      <c r="S12" s="282">
        <f t="shared" si="6"/>
        <v>10.920889997462266</v>
      </c>
      <c r="T12" s="290">
        <f>SUM('表２１－２:表２１－３'!T12)</f>
        <v>6001538</v>
      </c>
      <c r="U12" s="291">
        <f>SUM('表２１－２:表２１－３'!U12)</f>
        <v>3430742</v>
      </c>
      <c r="V12" s="149">
        <f t="shared" si="7"/>
        <v>-2570796</v>
      </c>
      <c r="W12" s="282">
        <f t="shared" si="8"/>
        <v>-42.83561980279055</v>
      </c>
      <c r="X12" s="290">
        <f>SUM('表２１－２:表２１－３'!X12)</f>
        <v>6400</v>
      </c>
      <c r="Y12" s="291">
        <f>SUM('表２１－２:表２１－３'!Y12)</f>
        <v>330</v>
      </c>
      <c r="Z12" s="285">
        <f t="shared" si="9"/>
        <v>-6070</v>
      </c>
      <c r="AA12" s="250">
        <f t="shared" si="10"/>
        <v>-94.84375</v>
      </c>
    </row>
    <row r="13" spans="1:27" s="74" customFormat="1" ht="23.25" customHeight="1">
      <c r="A13" s="132"/>
      <c r="B13" s="129"/>
      <c r="C13" s="76" t="s">
        <v>179</v>
      </c>
      <c r="D13" s="286">
        <f t="shared" si="0"/>
        <v>41626416</v>
      </c>
      <c r="E13" s="287">
        <f t="shared" si="13"/>
        <v>38922117</v>
      </c>
      <c r="F13" s="149">
        <f t="shared" si="11"/>
        <v>-2704299</v>
      </c>
      <c r="G13" s="282">
        <f t="shared" si="12"/>
        <v>-6.496593413182629</v>
      </c>
      <c r="H13" s="288">
        <f>SUM('表２１－２:表２１－３'!H13)</f>
        <v>7660427</v>
      </c>
      <c r="I13" s="289">
        <f>SUM('表２１－２:表２１－３'!I13)</f>
        <v>7908569</v>
      </c>
      <c r="J13" s="149">
        <f t="shared" si="1"/>
        <v>248142</v>
      </c>
      <c r="K13" s="282">
        <f t="shared" si="2"/>
        <v>3.2392711267922794</v>
      </c>
      <c r="L13" s="290">
        <f>SUM('表２１－２:表２１－３'!L13)</f>
        <v>20968758</v>
      </c>
      <c r="M13" s="291">
        <f>SUM('表２１－２:表２１－３'!M13)</f>
        <v>19050821</v>
      </c>
      <c r="N13" s="149">
        <f t="shared" si="3"/>
        <v>-1917937</v>
      </c>
      <c r="O13" s="282">
        <f t="shared" si="4"/>
        <v>-9.146640921698843</v>
      </c>
      <c r="P13" s="290">
        <f>SUM('表２１－２:表２１－３'!P13)</f>
        <v>9297571</v>
      </c>
      <c r="Q13" s="291">
        <f>SUM('表２１－２:表２１－３'!Q13)</f>
        <v>9957929</v>
      </c>
      <c r="R13" s="149">
        <f t="shared" si="5"/>
        <v>660358</v>
      </c>
      <c r="S13" s="282">
        <f t="shared" si="6"/>
        <v>7.102478701157539</v>
      </c>
      <c r="T13" s="290">
        <f>SUM('表２１－２:表２１－３'!T13)</f>
        <v>3694660</v>
      </c>
      <c r="U13" s="291">
        <f>SUM('表２１－２:表２１－３'!U13)</f>
        <v>2004548</v>
      </c>
      <c r="V13" s="149">
        <f t="shared" si="7"/>
        <v>-1690112</v>
      </c>
      <c r="W13" s="282">
        <f t="shared" si="8"/>
        <v>-45.74472346575869</v>
      </c>
      <c r="X13" s="290">
        <f>SUM('表２１－２:表２１－３'!X13)</f>
        <v>5000</v>
      </c>
      <c r="Y13" s="291">
        <f>SUM('表２１－２:表２１－３'!Y13)</f>
        <v>250</v>
      </c>
      <c r="Z13" s="285">
        <f t="shared" si="9"/>
        <v>-4750</v>
      </c>
      <c r="AA13" s="250">
        <f t="shared" si="10"/>
        <v>-95</v>
      </c>
    </row>
    <row r="14" spans="1:27" s="74" customFormat="1" ht="23.25" customHeight="1">
      <c r="A14" s="132"/>
      <c r="B14" s="129"/>
      <c r="C14" s="76" t="s">
        <v>245</v>
      </c>
      <c r="D14" s="286">
        <f t="shared" si="0"/>
        <v>9587455</v>
      </c>
      <c r="E14" s="287">
        <f t="shared" si="13"/>
        <v>9820800</v>
      </c>
      <c r="F14" s="149">
        <f t="shared" si="11"/>
        <v>233345</v>
      </c>
      <c r="G14" s="282">
        <f t="shared" si="12"/>
        <v>2.433857577428004</v>
      </c>
      <c r="H14" s="288">
        <f>SUM('表２１－２:表２１－３'!H14)</f>
        <v>1263614</v>
      </c>
      <c r="I14" s="289">
        <f>SUM('表２１－２:表２１－３'!I14)</f>
        <v>1258862</v>
      </c>
      <c r="J14" s="149">
        <f t="shared" si="1"/>
        <v>-4752</v>
      </c>
      <c r="K14" s="282">
        <f t="shared" si="2"/>
        <v>-0.37606420948169295</v>
      </c>
      <c r="L14" s="290">
        <f>SUM('表２１－２:表２１－３'!L14)</f>
        <v>8218841</v>
      </c>
      <c r="M14" s="291">
        <f>SUM('表２１－２:表２１－３'!M14)</f>
        <v>8561938</v>
      </c>
      <c r="N14" s="149">
        <f t="shared" si="3"/>
        <v>343097</v>
      </c>
      <c r="O14" s="282">
        <f t="shared" si="4"/>
        <v>4.174518037275572</v>
      </c>
      <c r="P14" s="290">
        <f>SUM('表２１－２:表２１－３'!P14)</f>
        <v>0</v>
      </c>
      <c r="Q14" s="291">
        <f>SUM('表２１－２:表２１－３'!Q14)</f>
        <v>0</v>
      </c>
      <c r="R14" s="149">
        <f t="shared" si="5"/>
        <v>0</v>
      </c>
      <c r="S14" s="282">
        <f t="shared" si="6"/>
      </c>
      <c r="T14" s="290">
        <f>SUM('表２１－２:表２１－３'!T14)</f>
        <v>105000</v>
      </c>
      <c r="U14" s="291">
        <f>SUM('表２１－２:表２１－３'!U14)</f>
        <v>0</v>
      </c>
      <c r="V14" s="149">
        <f t="shared" si="7"/>
        <v>-105000</v>
      </c>
      <c r="W14" s="282">
        <f t="shared" si="8"/>
        <v>-100</v>
      </c>
      <c r="X14" s="290">
        <f>SUM('表２１－２:表２１－３'!X14)</f>
        <v>0</v>
      </c>
      <c r="Y14" s="291">
        <f>SUM('表２１－２:表２１－３'!Y14)</f>
        <v>0</v>
      </c>
      <c r="Z14" s="285">
        <f t="shared" si="9"/>
        <v>0</v>
      </c>
      <c r="AA14" s="250">
        <f t="shared" si="10"/>
      </c>
    </row>
    <row r="15" spans="1:27" s="74" customFormat="1" ht="23.25" customHeight="1">
      <c r="A15" s="132"/>
      <c r="B15" s="129"/>
      <c r="C15" s="76" t="s">
        <v>180</v>
      </c>
      <c r="D15" s="286">
        <f t="shared" si="0"/>
        <v>29541428</v>
      </c>
      <c r="E15" s="287">
        <f t="shared" si="13"/>
        <v>31278749</v>
      </c>
      <c r="F15" s="149">
        <f t="shared" si="11"/>
        <v>1737321</v>
      </c>
      <c r="G15" s="282">
        <f t="shared" si="12"/>
        <v>5.880964860601864</v>
      </c>
      <c r="H15" s="288">
        <f>SUM('表２１－２:表２１－３'!H15)</f>
        <v>202116</v>
      </c>
      <c r="I15" s="289">
        <f>SUM('表２１－２:表２１－３'!I15)</f>
        <v>399673</v>
      </c>
      <c r="J15" s="149">
        <f t="shared" si="1"/>
        <v>197557</v>
      </c>
      <c r="K15" s="282">
        <f t="shared" si="2"/>
        <v>97.7443646222961</v>
      </c>
      <c r="L15" s="290">
        <f>SUM('表２１－２:表２１－３'!L15)</f>
        <v>29097312</v>
      </c>
      <c r="M15" s="291">
        <f>SUM('表２１－２:表２１－３'!M15)</f>
        <v>30793076</v>
      </c>
      <c r="N15" s="149">
        <f t="shared" si="3"/>
        <v>1695764</v>
      </c>
      <c r="O15" s="282">
        <f t="shared" si="4"/>
        <v>5.827906027883263</v>
      </c>
      <c r="P15" s="290">
        <f>SUM('表２１－２:表２１－３'!P15)</f>
        <v>0</v>
      </c>
      <c r="Q15" s="291">
        <f>SUM('表２１－２:表２１－３'!Q15)</f>
        <v>0</v>
      </c>
      <c r="R15" s="149">
        <f t="shared" si="5"/>
        <v>0</v>
      </c>
      <c r="S15" s="282">
        <f t="shared" si="6"/>
      </c>
      <c r="T15" s="290">
        <f>SUM('表２１－２:表２１－３'!T15)</f>
        <v>242000</v>
      </c>
      <c r="U15" s="291">
        <f>SUM('表２１－２:表２１－３'!U15)</f>
        <v>86000</v>
      </c>
      <c r="V15" s="149">
        <f t="shared" si="7"/>
        <v>-156000</v>
      </c>
      <c r="W15" s="282">
        <f t="shared" si="8"/>
        <v>-64.46280991735537</v>
      </c>
      <c r="X15" s="290">
        <f>SUM('表２１－２:表２１－３'!X15)</f>
        <v>0</v>
      </c>
      <c r="Y15" s="291">
        <f>SUM('表２１－２:表２１－３'!Y15)</f>
        <v>0</v>
      </c>
      <c r="Z15" s="285">
        <f t="shared" si="9"/>
        <v>0</v>
      </c>
      <c r="AA15" s="250">
        <f t="shared" si="10"/>
      </c>
    </row>
    <row r="16" spans="1:27" s="74" customFormat="1" ht="23.25" customHeight="1">
      <c r="A16" s="132"/>
      <c r="B16" s="129"/>
      <c r="C16" s="76" t="s">
        <v>181</v>
      </c>
      <c r="D16" s="286">
        <f t="shared" si="0"/>
        <v>886827</v>
      </c>
      <c r="E16" s="287">
        <f t="shared" si="13"/>
        <v>896539</v>
      </c>
      <c r="F16" s="149">
        <f t="shared" si="11"/>
        <v>9712</v>
      </c>
      <c r="G16" s="282">
        <f t="shared" si="12"/>
        <v>1.0951403148528405</v>
      </c>
      <c r="H16" s="288">
        <f>SUM('表２１－２:表２１－３'!H16)</f>
        <v>11112</v>
      </c>
      <c r="I16" s="289">
        <f>SUM('表２１－２:表２１－３'!I16)</f>
        <v>5392</v>
      </c>
      <c r="J16" s="149">
        <f t="shared" si="1"/>
        <v>-5720</v>
      </c>
      <c r="K16" s="282">
        <f t="shared" si="2"/>
        <v>-51.47588192944564</v>
      </c>
      <c r="L16" s="290">
        <f>SUM('表２１－２:表２１－３'!L16)</f>
        <v>875715</v>
      </c>
      <c r="M16" s="291">
        <f>SUM('表２１－２:表２１－３'!M16)</f>
        <v>891147</v>
      </c>
      <c r="N16" s="149">
        <f t="shared" si="3"/>
        <v>15432</v>
      </c>
      <c r="O16" s="282">
        <f t="shared" si="4"/>
        <v>1.7622171596923655</v>
      </c>
      <c r="P16" s="290">
        <f>SUM('表２１－２:表２１－３'!P16)</f>
        <v>0</v>
      </c>
      <c r="Q16" s="291">
        <f>SUM('表２１－２:表２１－３'!Q16)</f>
        <v>0</v>
      </c>
      <c r="R16" s="149">
        <f t="shared" si="5"/>
        <v>0</v>
      </c>
      <c r="S16" s="282">
        <f t="shared" si="6"/>
      </c>
      <c r="T16" s="290">
        <f>SUM('表２１－２:表２１－３'!T16)</f>
        <v>0</v>
      </c>
      <c r="U16" s="291">
        <f>SUM('表２１－２:表２１－３'!U16)</f>
        <v>0</v>
      </c>
      <c r="V16" s="149">
        <f t="shared" si="7"/>
        <v>0</v>
      </c>
      <c r="W16" s="282">
        <f t="shared" si="8"/>
      </c>
      <c r="X16" s="290">
        <f>SUM('表２１－２:表２１－３'!X16)</f>
        <v>0</v>
      </c>
      <c r="Y16" s="291">
        <f>SUM('表２１－２:表２１－３'!Y16)</f>
        <v>0</v>
      </c>
      <c r="Z16" s="285">
        <f t="shared" si="9"/>
        <v>0</v>
      </c>
      <c r="AA16" s="250">
        <f t="shared" si="10"/>
      </c>
    </row>
    <row r="17" spans="1:27" s="74" customFormat="1" ht="23.25" customHeight="1">
      <c r="A17" s="132"/>
      <c r="B17" s="129"/>
      <c r="C17" s="76" t="s">
        <v>182</v>
      </c>
      <c r="D17" s="286">
        <f t="shared" si="0"/>
        <v>173464</v>
      </c>
      <c r="E17" s="287">
        <f t="shared" si="13"/>
        <v>177018</v>
      </c>
      <c r="F17" s="149">
        <f t="shared" si="11"/>
        <v>3554</v>
      </c>
      <c r="G17" s="282">
        <f t="shared" si="12"/>
        <v>2.048840105151501</v>
      </c>
      <c r="H17" s="288">
        <f>SUM('表２１－２:表２１－３'!H17)</f>
        <v>904</v>
      </c>
      <c r="I17" s="289">
        <f>SUM('表２１－２:表２１－３'!I17)</f>
        <v>2908</v>
      </c>
      <c r="J17" s="149">
        <f t="shared" si="1"/>
        <v>2004</v>
      </c>
      <c r="K17" s="282">
        <f t="shared" si="2"/>
        <v>221.68141592920355</v>
      </c>
      <c r="L17" s="290">
        <f>SUM('表２１－２:表２１－３'!L17)</f>
        <v>172560</v>
      </c>
      <c r="M17" s="291">
        <f>SUM('表２１－２:表２１－３'!M17)</f>
        <v>174110</v>
      </c>
      <c r="N17" s="149">
        <f t="shared" si="3"/>
        <v>1550</v>
      </c>
      <c r="O17" s="282">
        <f t="shared" si="4"/>
        <v>0.8982382939267501</v>
      </c>
      <c r="P17" s="290">
        <f>SUM('表２１－２:表２１－３'!P17)</f>
        <v>0</v>
      </c>
      <c r="Q17" s="291">
        <f>SUM('表２１－２:表２１－３'!Q17)</f>
        <v>0</v>
      </c>
      <c r="R17" s="149">
        <f t="shared" si="5"/>
        <v>0</v>
      </c>
      <c r="S17" s="282">
        <f t="shared" si="6"/>
      </c>
      <c r="T17" s="290">
        <f>SUM('表２１－２:表２１－３'!T17)</f>
        <v>0</v>
      </c>
      <c r="U17" s="291">
        <f>SUM('表２１－２:表２１－３'!U17)</f>
        <v>0</v>
      </c>
      <c r="V17" s="149">
        <f t="shared" si="7"/>
        <v>0</v>
      </c>
      <c r="W17" s="282">
        <f t="shared" si="8"/>
      </c>
      <c r="X17" s="290">
        <f>SUM('表２１－２:表２１－３'!X17)</f>
        <v>0</v>
      </c>
      <c r="Y17" s="291">
        <f>SUM('表２１－２:表２１－３'!Y17)</f>
        <v>0</v>
      </c>
      <c r="Z17" s="285">
        <f t="shared" si="9"/>
        <v>0</v>
      </c>
      <c r="AA17" s="250">
        <f t="shared" si="10"/>
      </c>
    </row>
    <row r="18" spans="1:27" s="74" customFormat="1" ht="23.25" customHeight="1">
      <c r="A18" s="132"/>
      <c r="B18" s="129"/>
      <c r="C18" s="76" t="s">
        <v>38</v>
      </c>
      <c r="D18" s="286">
        <f t="shared" si="0"/>
        <v>2130789</v>
      </c>
      <c r="E18" s="287">
        <f t="shared" si="13"/>
        <v>2236940</v>
      </c>
      <c r="F18" s="149">
        <f t="shared" si="11"/>
        <v>106151</v>
      </c>
      <c r="G18" s="282">
        <f t="shared" si="12"/>
        <v>4.981769663725503</v>
      </c>
      <c r="H18" s="288">
        <f>SUM('表２１－２:表２１－３'!H18)</f>
        <v>172597</v>
      </c>
      <c r="I18" s="289">
        <f>SUM('表２１－２:表２１－３'!I18)</f>
        <v>184275</v>
      </c>
      <c r="J18" s="149">
        <f t="shared" si="1"/>
        <v>11678</v>
      </c>
      <c r="K18" s="282">
        <f t="shared" si="2"/>
        <v>6.766050394850431</v>
      </c>
      <c r="L18" s="290">
        <f>SUM('表２１－２:表２１－３'!L18)</f>
        <v>1958192</v>
      </c>
      <c r="M18" s="291">
        <f>SUM('表２１－２:表２１－３'!M18)</f>
        <v>2052665</v>
      </c>
      <c r="N18" s="149">
        <f t="shared" si="3"/>
        <v>94473</v>
      </c>
      <c r="O18" s="282">
        <f t="shared" si="4"/>
        <v>4.824501376780214</v>
      </c>
      <c r="P18" s="290">
        <f>SUM('表２１－２:表２１－３'!P18)</f>
        <v>0</v>
      </c>
      <c r="Q18" s="291">
        <f>SUM('表２１－２:表２１－３'!Q18)</f>
        <v>0</v>
      </c>
      <c r="R18" s="149">
        <f t="shared" si="5"/>
        <v>0</v>
      </c>
      <c r="S18" s="282">
        <f t="shared" si="6"/>
      </c>
      <c r="T18" s="290">
        <f>SUM('表２１－２:表２１－３'!T18)</f>
        <v>0</v>
      </c>
      <c r="U18" s="291">
        <f>SUM('表２１－２:表２１－３'!U18)</f>
        <v>0</v>
      </c>
      <c r="V18" s="149">
        <f t="shared" si="7"/>
        <v>0</v>
      </c>
      <c r="W18" s="282">
        <f t="shared" si="8"/>
      </c>
      <c r="X18" s="290">
        <f>SUM('表２１－２:表２１－３'!X18)</f>
        <v>0</v>
      </c>
      <c r="Y18" s="291">
        <f>SUM('表２１－２:表２１－３'!Y18)</f>
        <v>0</v>
      </c>
      <c r="Z18" s="285">
        <f t="shared" si="9"/>
        <v>0</v>
      </c>
      <c r="AA18" s="250">
        <f t="shared" si="10"/>
      </c>
    </row>
    <row r="19" spans="1:27" s="74" customFormat="1" ht="23.25" customHeight="1">
      <c r="A19" s="132"/>
      <c r="B19" s="129"/>
      <c r="C19" s="76" t="s">
        <v>183</v>
      </c>
      <c r="D19" s="286">
        <f t="shared" si="0"/>
        <v>206787</v>
      </c>
      <c r="E19" s="287">
        <f t="shared" si="13"/>
        <v>246601</v>
      </c>
      <c r="F19" s="149">
        <f t="shared" si="11"/>
        <v>39814</v>
      </c>
      <c r="G19" s="282">
        <f t="shared" si="12"/>
        <v>19.253628129427867</v>
      </c>
      <c r="H19" s="288">
        <f>SUM('表２１－２:表２１－３'!H19)</f>
        <v>13080</v>
      </c>
      <c r="I19" s="289">
        <f>SUM('表２１－２:表２１－３'!I19)</f>
        <v>25294</v>
      </c>
      <c r="J19" s="149">
        <f t="shared" si="1"/>
        <v>12214</v>
      </c>
      <c r="K19" s="282">
        <f t="shared" si="2"/>
        <v>93.37920489296636</v>
      </c>
      <c r="L19" s="290">
        <f>SUM('表２１－２:表２１－３'!L19)</f>
        <v>193707</v>
      </c>
      <c r="M19" s="291">
        <f>SUM('表２１－２:表２１－３'!M19)</f>
        <v>221307</v>
      </c>
      <c r="N19" s="149">
        <f t="shared" si="3"/>
        <v>27600</v>
      </c>
      <c r="O19" s="282">
        <f t="shared" si="4"/>
        <v>14.248323498892656</v>
      </c>
      <c r="P19" s="290">
        <f>SUM('表２１－２:表２１－３'!P19)</f>
        <v>0</v>
      </c>
      <c r="Q19" s="291">
        <f>SUM('表２１－２:表２１－３'!Q19)</f>
        <v>0</v>
      </c>
      <c r="R19" s="149">
        <f t="shared" si="5"/>
        <v>0</v>
      </c>
      <c r="S19" s="282">
        <f t="shared" si="6"/>
      </c>
      <c r="T19" s="290">
        <f>SUM('表２１－２:表２１－３'!T19)</f>
        <v>0</v>
      </c>
      <c r="U19" s="291">
        <f>SUM('表２１－２:表２１－３'!U19)</f>
        <v>0</v>
      </c>
      <c r="V19" s="149">
        <f t="shared" si="7"/>
        <v>0</v>
      </c>
      <c r="W19" s="282">
        <f t="shared" si="8"/>
      </c>
      <c r="X19" s="290">
        <f>SUM('表２１－２:表２１－３'!X19)</f>
        <v>0</v>
      </c>
      <c r="Y19" s="291">
        <f>SUM('表２１－２:表２１－３'!Y19)</f>
        <v>0</v>
      </c>
      <c r="Z19" s="285">
        <f t="shared" si="9"/>
        <v>0</v>
      </c>
      <c r="AA19" s="250">
        <f t="shared" si="10"/>
      </c>
    </row>
    <row r="20" spans="1:27" s="74" customFormat="1" ht="23.25" customHeight="1">
      <c r="A20" s="132"/>
      <c r="B20" s="129"/>
      <c r="C20" s="76" t="s">
        <v>184</v>
      </c>
      <c r="D20" s="286">
        <f t="shared" si="0"/>
        <v>0</v>
      </c>
      <c r="E20" s="287">
        <f t="shared" si="13"/>
        <v>0</v>
      </c>
      <c r="F20" s="149">
        <f t="shared" si="11"/>
        <v>0</v>
      </c>
      <c r="G20" s="282">
        <f t="shared" si="12"/>
      </c>
      <c r="H20" s="288">
        <f>SUM('表２１－２:表２１－３'!H20)</f>
        <v>0</v>
      </c>
      <c r="I20" s="289">
        <f>SUM('表２１－２:表２１－３'!I20)</f>
        <v>0</v>
      </c>
      <c r="J20" s="149">
        <f t="shared" si="1"/>
        <v>0</v>
      </c>
      <c r="K20" s="282">
        <f t="shared" si="2"/>
      </c>
      <c r="L20" s="290">
        <f>SUM('表２１－２:表２１－３'!L20)</f>
        <v>0</v>
      </c>
      <c r="M20" s="291">
        <f>SUM('表２１－２:表２１－３'!M20)</f>
        <v>0</v>
      </c>
      <c r="N20" s="149">
        <f t="shared" si="3"/>
        <v>0</v>
      </c>
      <c r="O20" s="282">
        <f t="shared" si="4"/>
      </c>
      <c r="P20" s="290">
        <f>SUM('表２１－２:表２１－３'!P20)</f>
        <v>0</v>
      </c>
      <c r="Q20" s="291">
        <f>SUM('表２１－２:表２１－３'!Q20)</f>
        <v>0</v>
      </c>
      <c r="R20" s="149">
        <f t="shared" si="5"/>
        <v>0</v>
      </c>
      <c r="S20" s="282">
        <f t="shared" si="6"/>
      </c>
      <c r="T20" s="290">
        <f>SUM('表２１－２:表２１－３'!T20)</f>
        <v>0</v>
      </c>
      <c r="U20" s="291">
        <f>SUM('表２１－２:表２１－３'!U20)</f>
        <v>0</v>
      </c>
      <c r="V20" s="149">
        <f t="shared" si="7"/>
        <v>0</v>
      </c>
      <c r="W20" s="282">
        <f t="shared" si="8"/>
      </c>
      <c r="X20" s="290">
        <f>SUM('表２１－２:表２１－３'!X20)</f>
        <v>0</v>
      </c>
      <c r="Y20" s="291">
        <f>SUM('表２１－２:表２１－３'!Y20)</f>
        <v>0</v>
      </c>
      <c r="Z20" s="285">
        <f t="shared" si="9"/>
        <v>0</v>
      </c>
      <c r="AA20" s="250">
        <f t="shared" si="10"/>
      </c>
    </row>
    <row r="21" spans="1:27" s="74" customFormat="1" ht="23.25" customHeight="1">
      <c r="A21" s="132"/>
      <c r="B21" s="129"/>
      <c r="C21" s="76" t="s">
        <v>185</v>
      </c>
      <c r="D21" s="286">
        <f t="shared" si="0"/>
        <v>0</v>
      </c>
      <c r="E21" s="287">
        <f t="shared" si="13"/>
        <v>0</v>
      </c>
      <c r="F21" s="149">
        <f t="shared" si="11"/>
        <v>0</v>
      </c>
      <c r="G21" s="282">
        <f t="shared" si="12"/>
      </c>
      <c r="H21" s="288">
        <f>SUM('表２１－２:表２１－３'!H21)</f>
        <v>0</v>
      </c>
      <c r="I21" s="289">
        <f>SUM('表２１－２:表２１－３'!I21)</f>
        <v>0</v>
      </c>
      <c r="J21" s="149">
        <f t="shared" si="1"/>
        <v>0</v>
      </c>
      <c r="K21" s="282">
        <f t="shared" si="2"/>
      </c>
      <c r="L21" s="290">
        <f>SUM('表２１－２:表２１－３'!L21)</f>
        <v>0</v>
      </c>
      <c r="M21" s="291">
        <f>SUM('表２１－２:表２１－３'!M21)</f>
        <v>0</v>
      </c>
      <c r="N21" s="149">
        <f t="shared" si="3"/>
        <v>0</v>
      </c>
      <c r="O21" s="282">
        <f t="shared" si="4"/>
      </c>
      <c r="P21" s="290">
        <f>SUM('表２１－２:表２１－３'!P21)</f>
        <v>0</v>
      </c>
      <c r="Q21" s="291">
        <f>SUM('表２１－２:表２１－３'!Q21)</f>
        <v>0</v>
      </c>
      <c r="R21" s="149">
        <f t="shared" si="5"/>
        <v>0</v>
      </c>
      <c r="S21" s="282">
        <f t="shared" si="6"/>
      </c>
      <c r="T21" s="290">
        <f>SUM('表２１－２:表２１－３'!T21)</f>
        <v>0</v>
      </c>
      <c r="U21" s="291">
        <f>SUM('表２１－２:表２１－３'!U21)</f>
        <v>0</v>
      </c>
      <c r="V21" s="149">
        <f t="shared" si="7"/>
        <v>0</v>
      </c>
      <c r="W21" s="282">
        <f t="shared" si="8"/>
      </c>
      <c r="X21" s="290">
        <f>SUM('表２１－２:表２１－３'!X21)</f>
        <v>0</v>
      </c>
      <c r="Y21" s="291">
        <f>SUM('表２１－２:表２１－３'!Y21)</f>
        <v>0</v>
      </c>
      <c r="Z21" s="285">
        <f t="shared" si="9"/>
        <v>0</v>
      </c>
      <c r="AA21" s="250">
        <f t="shared" si="10"/>
      </c>
    </row>
    <row r="22" spans="1:27" s="74" customFormat="1" ht="23.25" customHeight="1">
      <c r="A22" s="132"/>
      <c r="B22" s="129"/>
      <c r="C22" s="76" t="s">
        <v>320</v>
      </c>
      <c r="D22" s="286">
        <f>H22+L22+P22+T22+X22</f>
        <v>715043</v>
      </c>
      <c r="E22" s="287">
        <f>I22+M22+Q22+U22+Y22</f>
        <v>1069606</v>
      </c>
      <c r="F22" s="149">
        <f>E22-D22</f>
        <v>354563</v>
      </c>
      <c r="G22" s="282">
        <f t="shared" si="12"/>
        <v>49.586248659171545</v>
      </c>
      <c r="H22" s="288">
        <f>SUM('表２１－２:表２１－３'!H22)</f>
        <v>4115</v>
      </c>
      <c r="I22" s="289">
        <f>SUM('表２１－２:表２１－３'!I22)</f>
        <v>29937</v>
      </c>
      <c r="J22" s="149">
        <f>I22-H22</f>
        <v>25822</v>
      </c>
      <c r="K22" s="282">
        <f t="shared" si="2"/>
        <v>627.5091130012152</v>
      </c>
      <c r="L22" s="290">
        <f>SUM('表２１－２:表２１－３'!L22)</f>
        <v>1593</v>
      </c>
      <c r="M22" s="291">
        <f>SUM('表２１－２:表２１－３'!M22)</f>
        <v>52764</v>
      </c>
      <c r="N22" s="149">
        <f>M22-L22</f>
        <v>51171</v>
      </c>
      <c r="O22" s="282">
        <f t="shared" si="4"/>
        <v>3212.241054613936</v>
      </c>
      <c r="P22" s="290">
        <f>SUM('表２１－２:表２１－３'!P22)</f>
        <v>687670</v>
      </c>
      <c r="Q22" s="291">
        <f>SUM('表２１－２:表２１－３'!Q22)</f>
        <v>847605</v>
      </c>
      <c r="R22" s="149">
        <f>Q22-P22</f>
        <v>159935</v>
      </c>
      <c r="S22" s="282">
        <f t="shared" si="6"/>
        <v>23.257521776433464</v>
      </c>
      <c r="T22" s="290">
        <f>SUM('表２１－２:表２１－３'!T22)</f>
        <v>21665</v>
      </c>
      <c r="U22" s="291">
        <f>SUM('表２１－２:表２１－３'!U22)</f>
        <v>139300</v>
      </c>
      <c r="V22" s="149">
        <f>U22-T22</f>
        <v>117635</v>
      </c>
      <c r="W22" s="282">
        <f t="shared" si="8"/>
        <v>542.9725363489499</v>
      </c>
      <c r="X22" s="290">
        <f>SUM('表２１－２:表２１－３'!X22)</f>
        <v>0</v>
      </c>
      <c r="Y22" s="291">
        <f>SUM('表２１－２:表２１－３'!Y22)</f>
        <v>0</v>
      </c>
      <c r="Z22" s="285">
        <f>Y22-X22</f>
        <v>0</v>
      </c>
      <c r="AA22" s="250">
        <f t="shared" si="10"/>
      </c>
    </row>
    <row r="23" spans="1:27" s="74" customFormat="1" ht="23.25" customHeight="1">
      <c r="A23" s="132"/>
      <c r="B23" s="129"/>
      <c r="C23" s="76" t="s">
        <v>319</v>
      </c>
      <c r="D23" s="286">
        <f>H23+L23+P23+T23+X23</f>
        <v>0</v>
      </c>
      <c r="E23" s="287">
        <f>I23+M23+Q23+U23+Y23</f>
        <v>0</v>
      </c>
      <c r="F23" s="149">
        <f>E23-D23</f>
        <v>0</v>
      </c>
      <c r="G23" s="282">
        <f t="shared" si="12"/>
      </c>
      <c r="H23" s="288">
        <f>SUM('表２１－２:表２１－３'!H23)</f>
        <v>0</v>
      </c>
      <c r="I23" s="289">
        <f>SUM('表２１－２:表２１－３'!I23)</f>
        <v>0</v>
      </c>
      <c r="J23" s="149">
        <f>I23-H23</f>
        <v>0</v>
      </c>
      <c r="K23" s="282">
        <f t="shared" si="2"/>
      </c>
      <c r="L23" s="290">
        <f>SUM('表２１－２:表２１－３'!L23)</f>
        <v>0</v>
      </c>
      <c r="M23" s="291">
        <f>SUM('表２１－２:表２１－３'!M23)</f>
        <v>0</v>
      </c>
      <c r="N23" s="149">
        <f>M23-L23</f>
        <v>0</v>
      </c>
      <c r="O23" s="282">
        <f t="shared" si="4"/>
      </c>
      <c r="P23" s="290">
        <f>SUM('表２１－２:表２１－３'!P23)</f>
        <v>0</v>
      </c>
      <c r="Q23" s="291">
        <f>SUM('表２１－２:表２１－３'!Q23)</f>
        <v>0</v>
      </c>
      <c r="R23" s="149">
        <f>Q23-P23</f>
        <v>0</v>
      </c>
      <c r="S23" s="282">
        <f t="shared" si="6"/>
      </c>
      <c r="T23" s="290">
        <f>SUM('表２１－２:表２１－３'!T23)</f>
        <v>0</v>
      </c>
      <c r="U23" s="291">
        <f>SUM('表２１－２:表２１－３'!U23)</f>
        <v>0</v>
      </c>
      <c r="V23" s="149">
        <f>U23-T23</f>
        <v>0</v>
      </c>
      <c r="W23" s="282">
        <f t="shared" si="8"/>
      </c>
      <c r="X23" s="290">
        <f>SUM('表２１－２:表２１－３'!X23)</f>
        <v>0</v>
      </c>
      <c r="Y23" s="291">
        <f>SUM('表２１－２:表２１－３'!Y23)</f>
        <v>0</v>
      </c>
      <c r="Z23" s="285">
        <f>Y23-X23</f>
        <v>0</v>
      </c>
      <c r="AA23" s="250">
        <f t="shared" si="10"/>
      </c>
    </row>
    <row r="24" spans="1:27" s="74" customFormat="1" ht="23.25" customHeight="1">
      <c r="A24" s="132"/>
      <c r="B24" s="129"/>
      <c r="C24" s="76"/>
      <c r="D24" s="279"/>
      <c r="E24" s="280"/>
      <c r="F24" s="292"/>
      <c r="G24" s="281" t="s">
        <v>186</v>
      </c>
      <c r="H24" s="279"/>
      <c r="I24" s="280"/>
      <c r="J24" s="149"/>
      <c r="K24" s="282"/>
      <c r="L24" s="279"/>
      <c r="M24" s="280"/>
      <c r="N24" s="251"/>
      <c r="O24" s="282"/>
      <c r="P24" s="279"/>
      <c r="Q24" s="280"/>
      <c r="R24" s="149"/>
      <c r="S24" s="282"/>
      <c r="T24" s="279"/>
      <c r="U24" s="280"/>
      <c r="V24" s="149"/>
      <c r="W24" s="282"/>
      <c r="X24" s="279"/>
      <c r="Y24" s="280"/>
      <c r="Z24" s="285"/>
      <c r="AA24" s="250"/>
    </row>
    <row r="25" spans="1:27" s="74" customFormat="1" ht="23.25" customHeight="1">
      <c r="A25" s="132"/>
      <c r="B25" s="128" t="s">
        <v>272</v>
      </c>
      <c r="C25" s="75" t="s">
        <v>135</v>
      </c>
      <c r="D25" s="274">
        <f>SUM(D26:D35)</f>
        <v>21783161</v>
      </c>
      <c r="E25" s="275">
        <f>SUM(E26:E35)</f>
        <v>17731350</v>
      </c>
      <c r="F25" s="249">
        <f t="shared" si="11"/>
        <v>-4051811</v>
      </c>
      <c r="G25" s="276">
        <f>_xlfn.IFERROR(F25/D25*100,"")</f>
        <v>-18.600656718278856</v>
      </c>
      <c r="H25" s="274">
        <f>SUM(H26:H35)</f>
        <v>451018</v>
      </c>
      <c r="I25" s="275">
        <f>SUM(I26:I35)</f>
        <v>303415</v>
      </c>
      <c r="J25" s="249">
        <f aca="true" t="shared" si="14" ref="J25:J35">I25-H25</f>
        <v>-147603</v>
      </c>
      <c r="K25" s="276">
        <f>_xlfn.IFERROR(J25/H25*100,"")</f>
        <v>-32.72663175305642</v>
      </c>
      <c r="L25" s="274">
        <f>SUM(L26:L35)</f>
        <v>1693455</v>
      </c>
      <c r="M25" s="275">
        <f>SUM(M26:M35)</f>
        <v>2069641</v>
      </c>
      <c r="N25" s="249">
        <f aca="true" t="shared" si="15" ref="N25:N35">M25-L25</f>
        <v>376186</v>
      </c>
      <c r="O25" s="276">
        <f>_xlfn.IFERROR(N25/L25*100,"")</f>
        <v>22.21411256868355</v>
      </c>
      <c r="P25" s="274">
        <f>SUM(P26:P35)</f>
        <v>15895260</v>
      </c>
      <c r="Q25" s="275">
        <f>SUM(Q26:Q35)</f>
        <v>14114626</v>
      </c>
      <c r="R25" s="249">
        <f aca="true" t="shared" si="16" ref="R25:R35">Q25-P25</f>
        <v>-1780634</v>
      </c>
      <c r="S25" s="276">
        <f>_xlfn.IFERROR(R25/P25*100,"")</f>
        <v>-11.20229552709424</v>
      </c>
      <c r="T25" s="274">
        <f>SUM(T26:T35)</f>
        <v>3708800</v>
      </c>
      <c r="U25" s="275">
        <f>SUM(U26:U35)</f>
        <v>1219360</v>
      </c>
      <c r="V25" s="249">
        <f aca="true" t="shared" si="17" ref="V25:V35">U25-T25</f>
        <v>-2489440</v>
      </c>
      <c r="W25" s="276">
        <f>_xlfn.IFERROR(V25/T25*100,"")</f>
        <v>-67.12251941328732</v>
      </c>
      <c r="X25" s="274">
        <f>SUM(X26:X35)</f>
        <v>6970</v>
      </c>
      <c r="Y25" s="275">
        <f>SUM(Y26:Y35)</f>
        <v>120</v>
      </c>
      <c r="Z25" s="277">
        <f t="shared" si="9"/>
        <v>-6850</v>
      </c>
      <c r="AA25" s="278">
        <f>_xlfn.IFERROR(Z25/X25*100,"")</f>
        <v>-98.27833572453372</v>
      </c>
    </row>
    <row r="26" spans="1:27" s="74" customFormat="1" ht="23.25" customHeight="1">
      <c r="A26" s="132"/>
      <c r="B26" s="129"/>
      <c r="C26" s="76" t="s">
        <v>187</v>
      </c>
      <c r="D26" s="286">
        <f aca="true" t="shared" si="18" ref="D26:D35">H26+L26+P26+T26+X26+D63</f>
        <v>6616333</v>
      </c>
      <c r="E26" s="287">
        <f aca="true" t="shared" si="19" ref="E26:E35">I26+M26+Q26+U26+Y26+E63</f>
        <v>5204430</v>
      </c>
      <c r="F26" s="149">
        <f t="shared" si="11"/>
        <v>-1411903</v>
      </c>
      <c r="G26" s="281">
        <f aca="true" t="shared" si="20" ref="G26:G37">_xlfn.IFERROR(F26/D26*100,"")</f>
        <v>-21.339660503786614</v>
      </c>
      <c r="H26" s="290">
        <f>SUM('表２１－２:表２１－３'!H26)</f>
        <v>152056</v>
      </c>
      <c r="I26" s="291">
        <f>SUM('表２１－２:表２１－３'!I26)</f>
        <v>3380</v>
      </c>
      <c r="J26" s="149">
        <f t="shared" si="14"/>
        <v>-148676</v>
      </c>
      <c r="K26" s="282">
        <f aca="true" t="shared" si="21" ref="K26:K37">_xlfn.IFERROR(J26/H26*100,"")</f>
        <v>-97.77713473983269</v>
      </c>
      <c r="L26" s="290">
        <f>SUM('表２１－２:表２１－３'!L26)</f>
        <v>1991</v>
      </c>
      <c r="M26" s="291">
        <f>SUM('表２１－２:表２１－３'!M26)</f>
        <v>6319</v>
      </c>
      <c r="N26" s="149">
        <f t="shared" si="15"/>
        <v>4328</v>
      </c>
      <c r="O26" s="282">
        <f aca="true" t="shared" si="22" ref="O26:O37">_xlfn.IFERROR(N26/L26*100,"")</f>
        <v>217.37820190858864</v>
      </c>
      <c r="P26" s="290">
        <f>SUM('表２１－２:表２１－３'!P26)</f>
        <v>4614866</v>
      </c>
      <c r="Q26" s="291">
        <f>SUM('表２１－２:表２１－３'!Q26)</f>
        <v>4648874</v>
      </c>
      <c r="R26" s="149">
        <f t="shared" si="16"/>
        <v>34008</v>
      </c>
      <c r="S26" s="282">
        <f aca="true" t="shared" si="23" ref="S26:S37">_xlfn.IFERROR(R26/P26*100,"")</f>
        <v>0.7369228055592514</v>
      </c>
      <c r="T26" s="290">
        <f>SUM('表２１－２:表２１－３'!T26)</f>
        <v>1823500</v>
      </c>
      <c r="U26" s="291">
        <f>SUM('表２１－２:表２１－３'!U26)</f>
        <v>530100</v>
      </c>
      <c r="V26" s="149">
        <f t="shared" si="17"/>
        <v>-1293400</v>
      </c>
      <c r="W26" s="282">
        <f aca="true" t="shared" si="24" ref="W26:W37">_xlfn.IFERROR(V26/T26*100,"")</f>
        <v>-70.92953112146971</v>
      </c>
      <c r="X26" s="290">
        <f>SUM('表２１－２:表２１－３'!X26)</f>
        <v>0</v>
      </c>
      <c r="Y26" s="291">
        <f>SUM('表２１－２:表２１－３'!Y26)</f>
        <v>0</v>
      </c>
      <c r="Z26" s="285">
        <f t="shared" si="9"/>
        <v>0</v>
      </c>
      <c r="AA26" s="250">
        <f aca="true" t="shared" si="25" ref="AA26:AA37">_xlfn.IFERROR(Z26/X26*100,"")</f>
      </c>
    </row>
    <row r="27" spans="1:27" s="74" customFormat="1" ht="23.25" customHeight="1">
      <c r="A27" s="132"/>
      <c r="B27" s="129"/>
      <c r="C27" s="76" t="s">
        <v>188</v>
      </c>
      <c r="D27" s="286">
        <f t="shared" si="18"/>
        <v>5371782</v>
      </c>
      <c r="E27" s="287">
        <f t="shared" si="19"/>
        <v>2392066</v>
      </c>
      <c r="F27" s="149">
        <f t="shared" si="11"/>
        <v>-2979716</v>
      </c>
      <c r="G27" s="281">
        <f t="shared" si="20"/>
        <v>-55.46978637629003</v>
      </c>
      <c r="H27" s="290">
        <f>SUM('表２１－２:表２１－３'!H27)</f>
        <v>6150</v>
      </c>
      <c r="I27" s="291">
        <f>SUM('表２１－２:表２１－３'!I27)</f>
        <v>24165</v>
      </c>
      <c r="J27" s="149">
        <f t="shared" si="14"/>
        <v>18015</v>
      </c>
      <c r="K27" s="282">
        <f t="shared" si="21"/>
        <v>292.9268292682927</v>
      </c>
      <c r="L27" s="290">
        <f>SUM('表２１－２:表２１－３'!L27)</f>
        <v>191794</v>
      </c>
      <c r="M27" s="291">
        <f>SUM('表２１－２:表２１－３'!M27)</f>
        <v>187917</v>
      </c>
      <c r="N27" s="149">
        <f t="shared" si="15"/>
        <v>-3877</v>
      </c>
      <c r="O27" s="282">
        <f>_xlfn.IFERROR(N27/L27*100,"")</f>
        <v>-2.021439669645557</v>
      </c>
      <c r="P27" s="290">
        <f>SUM('表２１－２:表２１－３'!P27)</f>
        <v>4177818</v>
      </c>
      <c r="Q27" s="291">
        <f>SUM('表２１－２:表２１－３'!Q27)</f>
        <v>2167264</v>
      </c>
      <c r="R27" s="149">
        <f t="shared" si="16"/>
        <v>-2010554</v>
      </c>
      <c r="S27" s="282">
        <f>_xlfn.IFERROR(R27/P27*100,"")</f>
        <v>-48.12449943965965</v>
      </c>
      <c r="T27" s="290">
        <f>SUM('表２１－２:表２１－３'!T27)</f>
        <v>995900</v>
      </c>
      <c r="U27" s="291">
        <f>SUM('表２１－２:表２１－３'!U27)</f>
        <v>12600</v>
      </c>
      <c r="V27" s="149">
        <f t="shared" si="17"/>
        <v>-983300</v>
      </c>
      <c r="W27" s="282">
        <f>_xlfn.IFERROR(V27/T27*100,"")</f>
        <v>-98.73481273220203</v>
      </c>
      <c r="X27" s="290">
        <f>SUM('表２１－２:表２１－３'!X27)</f>
        <v>120</v>
      </c>
      <c r="Y27" s="291">
        <f>SUM('表２１－２:表２１－３'!Y27)</f>
        <v>120</v>
      </c>
      <c r="Z27" s="285">
        <f t="shared" si="9"/>
        <v>0</v>
      </c>
      <c r="AA27" s="250">
        <f>_xlfn.IFERROR(Z27/X27*100,"")</f>
        <v>0</v>
      </c>
    </row>
    <row r="28" spans="1:27" s="74" customFormat="1" ht="23.25" customHeight="1">
      <c r="A28" s="132"/>
      <c r="B28" s="129"/>
      <c r="C28" s="76" t="s">
        <v>189</v>
      </c>
      <c r="D28" s="286">
        <f t="shared" si="18"/>
        <v>2189756</v>
      </c>
      <c r="E28" s="287">
        <f t="shared" si="19"/>
        <v>2570496</v>
      </c>
      <c r="F28" s="149">
        <f t="shared" si="11"/>
        <v>380740</v>
      </c>
      <c r="G28" s="281">
        <f t="shared" si="20"/>
        <v>17.387325345837617</v>
      </c>
      <c r="H28" s="290">
        <f>SUM('表２１－２:表２１－３'!H28)</f>
        <v>453</v>
      </c>
      <c r="I28" s="291">
        <f>SUM('表２１－２:表２１－３'!I28)</f>
        <v>45111</v>
      </c>
      <c r="J28" s="149">
        <f t="shared" si="14"/>
        <v>44658</v>
      </c>
      <c r="K28" s="282">
        <f t="shared" si="21"/>
        <v>9858.278145695363</v>
      </c>
      <c r="L28" s="290">
        <f>SUM('表２１－２:表２１－３'!L28)</f>
        <v>1107369</v>
      </c>
      <c r="M28" s="291">
        <f>SUM('表２１－２:表２１－３'!M28)</f>
        <v>1510058</v>
      </c>
      <c r="N28" s="149">
        <f t="shared" si="15"/>
        <v>402689</v>
      </c>
      <c r="O28" s="282">
        <f t="shared" si="22"/>
        <v>36.36448193872142</v>
      </c>
      <c r="P28" s="290">
        <f>SUM('表２１－２:表２１－３'!P28)</f>
        <v>1049428</v>
      </c>
      <c r="Q28" s="291">
        <f>SUM('表２１－２:表２１－３'!Q28)</f>
        <v>1014144</v>
      </c>
      <c r="R28" s="149">
        <f t="shared" si="16"/>
        <v>-35284</v>
      </c>
      <c r="S28" s="282">
        <f t="shared" si="23"/>
        <v>-3.362212557698099</v>
      </c>
      <c r="T28" s="290">
        <f>SUM('表２１－２:表２１－３'!T28)</f>
        <v>32200</v>
      </c>
      <c r="U28" s="291">
        <f>SUM('表２１－２:表２１－３'!U28)</f>
        <v>0</v>
      </c>
      <c r="V28" s="149">
        <f t="shared" si="17"/>
        <v>-32200</v>
      </c>
      <c r="W28" s="282">
        <f t="shared" si="24"/>
        <v>-100</v>
      </c>
      <c r="X28" s="290">
        <f>SUM('表２１－２:表２１－３'!X28)</f>
        <v>306</v>
      </c>
      <c r="Y28" s="291">
        <f>SUM('表２１－２:表２１－３'!Y28)</f>
        <v>0</v>
      </c>
      <c r="Z28" s="285">
        <f t="shared" si="9"/>
        <v>-306</v>
      </c>
      <c r="AA28" s="250">
        <f t="shared" si="25"/>
        <v>-100</v>
      </c>
    </row>
    <row r="29" spans="1:27" s="74" customFormat="1" ht="23.25" customHeight="1">
      <c r="A29" s="132"/>
      <c r="B29" s="129"/>
      <c r="C29" s="76" t="s">
        <v>190</v>
      </c>
      <c r="D29" s="286">
        <f t="shared" si="18"/>
        <v>3362945</v>
      </c>
      <c r="E29" s="287">
        <f t="shared" si="19"/>
        <v>3385138</v>
      </c>
      <c r="F29" s="149">
        <f t="shared" si="11"/>
        <v>22193</v>
      </c>
      <c r="G29" s="281">
        <f t="shared" si="20"/>
        <v>0.6599275337538972</v>
      </c>
      <c r="H29" s="290">
        <f>SUM('表２１－２:表２１－３'!H29)</f>
        <v>63367</v>
      </c>
      <c r="I29" s="291">
        <f>SUM('表２１－２:表２１－３'!I29)</f>
        <v>11910</v>
      </c>
      <c r="J29" s="149">
        <f t="shared" si="14"/>
        <v>-51457</v>
      </c>
      <c r="K29" s="282">
        <f t="shared" si="21"/>
        <v>-81.20472801300362</v>
      </c>
      <c r="L29" s="290">
        <f>SUM('表２１－２:表２１－３'!L29)</f>
        <v>0</v>
      </c>
      <c r="M29" s="291">
        <f>SUM('表２１－２:表２１－３'!M29)</f>
        <v>0</v>
      </c>
      <c r="N29" s="149">
        <f t="shared" si="15"/>
        <v>0</v>
      </c>
      <c r="O29" s="282">
        <f t="shared" si="22"/>
      </c>
      <c r="P29" s="290">
        <f>SUM('表２１－２:表２１－３'!P29)</f>
        <v>2765378</v>
      </c>
      <c r="Q29" s="291">
        <f>SUM('表２１－２:表２１－３'!Q29)</f>
        <v>2922368</v>
      </c>
      <c r="R29" s="149">
        <f t="shared" si="16"/>
        <v>156990</v>
      </c>
      <c r="S29" s="282">
        <f t="shared" si="23"/>
        <v>5.676981591666673</v>
      </c>
      <c r="T29" s="290">
        <f>SUM('表２１－２:表２１－３'!T29)</f>
        <v>534200</v>
      </c>
      <c r="U29" s="291">
        <f>SUM('表２１－２:表２１－３'!U29)</f>
        <v>450860</v>
      </c>
      <c r="V29" s="149">
        <f t="shared" si="17"/>
        <v>-83340</v>
      </c>
      <c r="W29" s="282">
        <f t="shared" si="24"/>
        <v>-15.600898539872707</v>
      </c>
      <c r="X29" s="290">
        <f>SUM('表２１－２:表２１－３'!X29)</f>
        <v>0</v>
      </c>
      <c r="Y29" s="291">
        <f>SUM('表２１－２:表２１－３'!Y29)</f>
        <v>0</v>
      </c>
      <c r="Z29" s="285">
        <f t="shared" si="9"/>
        <v>0</v>
      </c>
      <c r="AA29" s="250">
        <f t="shared" si="25"/>
      </c>
    </row>
    <row r="30" spans="1:27" s="74" customFormat="1" ht="23.25" customHeight="1">
      <c r="A30" s="132"/>
      <c r="B30" s="129"/>
      <c r="C30" s="76" t="s">
        <v>191</v>
      </c>
      <c r="D30" s="286">
        <f t="shared" si="18"/>
        <v>307637</v>
      </c>
      <c r="E30" s="287">
        <f t="shared" si="19"/>
        <v>290769</v>
      </c>
      <c r="F30" s="149">
        <f t="shared" si="11"/>
        <v>-16868</v>
      </c>
      <c r="G30" s="281">
        <f>_xlfn.IFERROR(F30/D30*100,"")</f>
        <v>-5.483085584633838</v>
      </c>
      <c r="H30" s="290">
        <f>SUM('表２１－２:表２１－３'!H30)</f>
        <v>3859</v>
      </c>
      <c r="I30" s="291">
        <f>SUM('表２１－２:表２１－３'!I30)</f>
        <v>215</v>
      </c>
      <c r="J30" s="149">
        <f t="shared" si="14"/>
        <v>-3644</v>
      </c>
      <c r="K30" s="282">
        <f t="shared" si="21"/>
        <v>-94.4286084477844</v>
      </c>
      <c r="L30" s="290">
        <f>SUM('表２１－２:表２１－３'!L30)</f>
        <v>41481</v>
      </c>
      <c r="M30" s="291">
        <f>SUM('表２１－２:表２１－３'!M30)</f>
        <v>37791</v>
      </c>
      <c r="N30" s="149">
        <f t="shared" si="15"/>
        <v>-3690</v>
      </c>
      <c r="O30" s="282">
        <f t="shared" si="22"/>
        <v>-8.895638967238012</v>
      </c>
      <c r="P30" s="290">
        <f>SUM('表２１－２:表２１－３'!P30)</f>
        <v>262297</v>
      </c>
      <c r="Q30" s="291">
        <f>SUM('表２１－２:表２１－３'!Q30)</f>
        <v>252763</v>
      </c>
      <c r="R30" s="149">
        <f t="shared" si="16"/>
        <v>-9534</v>
      </c>
      <c r="S30" s="282">
        <f t="shared" si="23"/>
        <v>-3.6348109204451444</v>
      </c>
      <c r="T30" s="290">
        <f>SUM('表２１－２:表２１－３'!T30)</f>
        <v>0</v>
      </c>
      <c r="U30" s="291">
        <f>SUM('表２１－２:表２１－３'!U30)</f>
        <v>0</v>
      </c>
      <c r="V30" s="149">
        <f t="shared" si="17"/>
        <v>0</v>
      </c>
      <c r="W30" s="282">
        <f t="shared" si="24"/>
      </c>
      <c r="X30" s="290">
        <f>SUM('表２１－２:表２１－３'!X30)</f>
        <v>0</v>
      </c>
      <c r="Y30" s="291">
        <f>SUM('表２１－２:表２１－３'!Y30)</f>
        <v>0</v>
      </c>
      <c r="Z30" s="285">
        <f t="shared" si="9"/>
        <v>0</v>
      </c>
      <c r="AA30" s="250">
        <f t="shared" si="25"/>
      </c>
    </row>
    <row r="31" spans="1:27" s="74" customFormat="1" ht="23.25" customHeight="1">
      <c r="A31" s="132"/>
      <c r="B31" s="129"/>
      <c r="C31" s="76" t="s">
        <v>192</v>
      </c>
      <c r="D31" s="286">
        <f t="shared" si="18"/>
        <v>0</v>
      </c>
      <c r="E31" s="287">
        <f t="shared" si="19"/>
        <v>0</v>
      </c>
      <c r="F31" s="149">
        <f t="shared" si="11"/>
        <v>0</v>
      </c>
      <c r="G31" s="281">
        <f t="shared" si="20"/>
      </c>
      <c r="H31" s="290">
        <f>SUM('表２１－２:表２１－３'!H31)</f>
        <v>0</v>
      </c>
      <c r="I31" s="291">
        <f>SUM('表２１－２:表２１－３'!I31)</f>
        <v>0</v>
      </c>
      <c r="J31" s="149">
        <f t="shared" si="14"/>
        <v>0</v>
      </c>
      <c r="K31" s="282">
        <f t="shared" si="21"/>
      </c>
      <c r="L31" s="290">
        <f>SUM('表２１－２:表２１－３'!L31)</f>
        <v>0</v>
      </c>
      <c r="M31" s="291">
        <f>SUM('表２１－２:表２１－３'!M31)</f>
        <v>0</v>
      </c>
      <c r="N31" s="149">
        <f t="shared" si="15"/>
        <v>0</v>
      </c>
      <c r="O31" s="282">
        <f t="shared" si="22"/>
      </c>
      <c r="P31" s="290">
        <f>SUM('表２１－２:表２１－３'!P31)</f>
        <v>0</v>
      </c>
      <c r="Q31" s="291">
        <f>SUM('表２１－２:表２１－３'!Q31)</f>
        <v>0</v>
      </c>
      <c r="R31" s="149">
        <f t="shared" si="16"/>
        <v>0</v>
      </c>
      <c r="S31" s="282">
        <f t="shared" si="23"/>
      </c>
      <c r="T31" s="290">
        <f>SUM('表２１－２:表２１－３'!T31)</f>
        <v>0</v>
      </c>
      <c r="U31" s="291">
        <f>SUM('表２１－２:表２１－３'!U31)</f>
        <v>0</v>
      </c>
      <c r="V31" s="149">
        <f t="shared" si="17"/>
        <v>0</v>
      </c>
      <c r="W31" s="282">
        <f t="shared" si="24"/>
      </c>
      <c r="X31" s="290">
        <f>SUM('表２１－２:表２１－３'!X31)</f>
        <v>0</v>
      </c>
      <c r="Y31" s="291">
        <f>SUM('表２１－２:表２１－３'!Y31)</f>
        <v>0</v>
      </c>
      <c r="Z31" s="285">
        <f t="shared" si="9"/>
        <v>0</v>
      </c>
      <c r="AA31" s="250">
        <f t="shared" si="25"/>
      </c>
    </row>
    <row r="32" spans="1:27" s="74" customFormat="1" ht="23.25" customHeight="1">
      <c r="A32" s="132"/>
      <c r="B32" s="129"/>
      <c r="C32" s="76" t="s">
        <v>193</v>
      </c>
      <c r="D32" s="286">
        <f t="shared" si="18"/>
        <v>648020</v>
      </c>
      <c r="E32" s="287">
        <f t="shared" si="19"/>
        <v>1024810</v>
      </c>
      <c r="F32" s="149">
        <f t="shared" si="11"/>
        <v>376790</v>
      </c>
      <c r="G32" s="281">
        <f t="shared" si="20"/>
        <v>58.14481034535971</v>
      </c>
      <c r="H32" s="290">
        <f>SUM('表２１－２:表２１－３'!H32)</f>
        <v>0</v>
      </c>
      <c r="I32" s="291">
        <f>SUM('表２１－２:表２１－３'!I32)</f>
        <v>0</v>
      </c>
      <c r="J32" s="149">
        <f t="shared" si="14"/>
        <v>0</v>
      </c>
      <c r="K32" s="282">
        <f t="shared" si="21"/>
      </c>
      <c r="L32" s="290">
        <f>SUM('表２１－２:表２１－３'!L32)</f>
        <v>0</v>
      </c>
      <c r="M32" s="291">
        <f>SUM('表２１－２:表２１－３'!M32)</f>
        <v>0</v>
      </c>
      <c r="N32" s="149">
        <f t="shared" si="15"/>
        <v>0</v>
      </c>
      <c r="O32" s="282">
        <f t="shared" si="22"/>
      </c>
      <c r="P32" s="290">
        <f>SUM('表２１－２:表２１－３'!P32)</f>
        <v>597782</v>
      </c>
      <c r="Q32" s="291">
        <f>SUM('表２１－２:表２１－３'!Q32)</f>
        <v>900962</v>
      </c>
      <c r="R32" s="149">
        <f t="shared" si="16"/>
        <v>303180</v>
      </c>
      <c r="S32" s="282">
        <f t="shared" si="23"/>
        <v>50.71748563857727</v>
      </c>
      <c r="T32" s="290">
        <f>SUM('表２１－２:表２１－３'!T32)</f>
        <v>46500</v>
      </c>
      <c r="U32" s="291">
        <f>SUM('表２１－２:表２１－３'!U32)</f>
        <v>116600</v>
      </c>
      <c r="V32" s="149">
        <f t="shared" si="17"/>
        <v>70100</v>
      </c>
      <c r="W32" s="282">
        <f t="shared" si="24"/>
        <v>150.752688172043</v>
      </c>
      <c r="X32" s="290">
        <f>SUM('表２１－２:表２１－３'!X32)</f>
        <v>0</v>
      </c>
      <c r="Y32" s="291">
        <f>SUM('表２１－２:表２１－３'!Y32)</f>
        <v>0</v>
      </c>
      <c r="Z32" s="285">
        <f t="shared" si="9"/>
        <v>0</v>
      </c>
      <c r="AA32" s="250">
        <f t="shared" si="25"/>
      </c>
    </row>
    <row r="33" spans="1:27" s="74" customFormat="1" ht="23.25" customHeight="1">
      <c r="A33" s="132"/>
      <c r="B33" s="129"/>
      <c r="C33" s="76" t="s">
        <v>194</v>
      </c>
      <c r="D33" s="286">
        <f t="shared" si="18"/>
        <v>967126</v>
      </c>
      <c r="E33" s="287">
        <f t="shared" si="19"/>
        <v>867949</v>
      </c>
      <c r="F33" s="149">
        <f t="shared" si="11"/>
        <v>-99177</v>
      </c>
      <c r="G33" s="281">
        <f t="shared" si="20"/>
        <v>-10.254816849097221</v>
      </c>
      <c r="H33" s="290">
        <f>SUM('表２１－２:表２１－３'!H33)</f>
        <v>0</v>
      </c>
      <c r="I33" s="291">
        <f>SUM('表２１－２:表２１－３'!I33)</f>
        <v>484</v>
      </c>
      <c r="J33" s="149">
        <f t="shared" si="14"/>
        <v>484</v>
      </c>
      <c r="K33" s="282">
        <f t="shared" si="21"/>
      </c>
      <c r="L33" s="290">
        <f>SUM('表２１－２:表２１－３'!L33)</f>
        <v>182740</v>
      </c>
      <c r="M33" s="291">
        <f>SUM('表２１－２:表２１－３'!M33)</f>
        <v>159623</v>
      </c>
      <c r="N33" s="149">
        <f t="shared" si="15"/>
        <v>-23117</v>
      </c>
      <c r="O33" s="282">
        <f t="shared" si="22"/>
        <v>-12.650213417970887</v>
      </c>
      <c r="P33" s="290">
        <f>SUM('表２１－２:表２１－３'!P33)</f>
        <v>747186</v>
      </c>
      <c r="Q33" s="291">
        <f>SUM('表２１－２:表２１－３'!Q33)</f>
        <v>649042</v>
      </c>
      <c r="R33" s="149">
        <f t="shared" si="16"/>
        <v>-98144</v>
      </c>
      <c r="S33" s="282">
        <f t="shared" si="23"/>
        <v>-13.135149748523126</v>
      </c>
      <c r="T33" s="290">
        <f>SUM('表２１－２:表２１－３'!T33)</f>
        <v>37200</v>
      </c>
      <c r="U33" s="291">
        <f>SUM('表２１－２:表２１－３'!U33)</f>
        <v>58800</v>
      </c>
      <c r="V33" s="149">
        <f t="shared" si="17"/>
        <v>21600</v>
      </c>
      <c r="W33" s="282">
        <f t="shared" si="24"/>
        <v>58.06451612903226</v>
      </c>
      <c r="X33" s="290">
        <f>SUM('表２１－２:表２１－３'!X33)</f>
        <v>0</v>
      </c>
      <c r="Y33" s="291">
        <f>SUM('表２１－２:表２１－３'!Y33)</f>
        <v>0</v>
      </c>
      <c r="Z33" s="285">
        <f t="shared" si="9"/>
        <v>0</v>
      </c>
      <c r="AA33" s="250">
        <f t="shared" si="25"/>
      </c>
    </row>
    <row r="34" spans="1:27" s="74" customFormat="1" ht="23.25" customHeight="1">
      <c r="A34" s="132"/>
      <c r="B34" s="129"/>
      <c r="C34" s="77" t="s">
        <v>195</v>
      </c>
      <c r="D34" s="286">
        <f t="shared" si="18"/>
        <v>1330292</v>
      </c>
      <c r="E34" s="287">
        <f t="shared" si="19"/>
        <v>1217953</v>
      </c>
      <c r="F34" s="149">
        <f t="shared" si="11"/>
        <v>-112339</v>
      </c>
      <c r="G34" s="281">
        <f t="shared" si="20"/>
        <v>-8.444687331803845</v>
      </c>
      <c r="H34" s="290">
        <f>SUM('表２１－２:表２１－３'!H34)</f>
        <v>85634</v>
      </c>
      <c r="I34" s="291">
        <f>SUM('表２１－２:表２１－３'!I34)</f>
        <v>74523</v>
      </c>
      <c r="J34" s="149">
        <f t="shared" si="14"/>
        <v>-11111</v>
      </c>
      <c r="K34" s="282">
        <f t="shared" si="21"/>
        <v>-12.974986570754607</v>
      </c>
      <c r="L34" s="290">
        <f>SUM('表２１－２:表２１－３'!L34)</f>
        <v>114602</v>
      </c>
      <c r="M34" s="291">
        <f>SUM('表２１－２:表２１－３'!M34)</f>
        <v>116222</v>
      </c>
      <c r="N34" s="149">
        <f t="shared" si="15"/>
        <v>1620</v>
      </c>
      <c r="O34" s="282">
        <f t="shared" si="22"/>
        <v>1.4135878954992058</v>
      </c>
      <c r="P34" s="290">
        <f>SUM('表２１－２:表２１－３'!P34)</f>
        <v>1113312</v>
      </c>
      <c r="Q34" s="291">
        <f>SUM('表２１－２:表２１－３'!Q34)</f>
        <v>1021008</v>
      </c>
      <c r="R34" s="149">
        <f t="shared" si="16"/>
        <v>-92304</v>
      </c>
      <c r="S34" s="282">
        <f t="shared" si="23"/>
        <v>-8.29093731137363</v>
      </c>
      <c r="T34" s="290">
        <f>SUM('表２１－２:表２１－３'!T34)</f>
        <v>10200</v>
      </c>
      <c r="U34" s="291">
        <f>SUM('表２１－２:表２１－３'!U34)</f>
        <v>6200</v>
      </c>
      <c r="V34" s="149">
        <f t="shared" si="17"/>
        <v>-4000</v>
      </c>
      <c r="W34" s="282">
        <f t="shared" si="24"/>
        <v>-39.21568627450981</v>
      </c>
      <c r="X34" s="290">
        <f>SUM('表２１－２:表２１－３'!X34)</f>
        <v>6544</v>
      </c>
      <c r="Y34" s="291">
        <f>SUM('表２１－２:表２１－３'!Y34)</f>
        <v>0</v>
      </c>
      <c r="Z34" s="285">
        <f t="shared" si="9"/>
        <v>-6544</v>
      </c>
      <c r="AA34" s="250">
        <f t="shared" si="25"/>
        <v>-100</v>
      </c>
    </row>
    <row r="35" spans="1:27" s="74" customFormat="1" ht="23.25" customHeight="1">
      <c r="A35" s="132"/>
      <c r="B35" s="129"/>
      <c r="C35" s="76" t="s">
        <v>196</v>
      </c>
      <c r="D35" s="286">
        <f t="shared" si="18"/>
        <v>989270</v>
      </c>
      <c r="E35" s="287">
        <f t="shared" si="19"/>
        <v>777739</v>
      </c>
      <c r="F35" s="149">
        <f t="shared" si="11"/>
        <v>-211531</v>
      </c>
      <c r="G35" s="281">
        <f t="shared" si="20"/>
        <v>-21.38253459621741</v>
      </c>
      <c r="H35" s="290">
        <f>SUM('表２１－２:表２１－３'!H35)</f>
        <v>139499</v>
      </c>
      <c r="I35" s="291">
        <f>SUM('表２１－２:表２１－３'!I35)</f>
        <v>143627</v>
      </c>
      <c r="J35" s="149">
        <f t="shared" si="14"/>
        <v>4128</v>
      </c>
      <c r="K35" s="282">
        <f t="shared" si="21"/>
        <v>2.959160997569875</v>
      </c>
      <c r="L35" s="290">
        <f>SUM('表２１－２:表２１－３'!L35)</f>
        <v>53478</v>
      </c>
      <c r="M35" s="291">
        <f>SUM('表２１－２:表２１－３'!M35)</f>
        <v>51711</v>
      </c>
      <c r="N35" s="149">
        <f t="shared" si="15"/>
        <v>-1767</v>
      </c>
      <c r="O35" s="282">
        <f t="shared" si="22"/>
        <v>-3.30416245932907</v>
      </c>
      <c r="P35" s="290">
        <f>SUM('表２１－２:表２１－３'!P35)</f>
        <v>567193</v>
      </c>
      <c r="Q35" s="291">
        <f>SUM('表２１－２:表２１－３'!Q35)</f>
        <v>538201</v>
      </c>
      <c r="R35" s="149">
        <f t="shared" si="16"/>
        <v>-28992</v>
      </c>
      <c r="S35" s="282">
        <f t="shared" si="23"/>
        <v>-5.111487624142047</v>
      </c>
      <c r="T35" s="290">
        <f>SUM('表２１－２:表２１－３'!T35)</f>
        <v>229100</v>
      </c>
      <c r="U35" s="291">
        <f>SUM('表２１－２:表２１－３'!U35)</f>
        <v>44200</v>
      </c>
      <c r="V35" s="149">
        <f t="shared" si="17"/>
        <v>-184900</v>
      </c>
      <c r="W35" s="282">
        <f t="shared" si="24"/>
        <v>-80.70711479703186</v>
      </c>
      <c r="X35" s="290">
        <f>SUM('表２１－２:表２１－３'!X35)</f>
        <v>0</v>
      </c>
      <c r="Y35" s="291">
        <f>SUM('表２１－２:表２１－３'!Y35)</f>
        <v>0</v>
      </c>
      <c r="Z35" s="285">
        <f t="shared" si="9"/>
        <v>0</v>
      </c>
      <c r="AA35" s="250">
        <f t="shared" si="25"/>
      </c>
    </row>
    <row r="36" spans="1:27" s="74" customFormat="1" ht="23.25" customHeight="1">
      <c r="A36" s="132"/>
      <c r="B36" s="129"/>
      <c r="C36" s="76"/>
      <c r="D36" s="293"/>
      <c r="E36" s="294"/>
      <c r="F36" s="149"/>
      <c r="G36" s="281"/>
      <c r="H36" s="279"/>
      <c r="I36" s="280"/>
      <c r="J36" s="251"/>
      <c r="K36" s="281"/>
      <c r="L36" s="279"/>
      <c r="M36" s="280"/>
      <c r="N36" s="149"/>
      <c r="O36" s="282"/>
      <c r="P36" s="279"/>
      <c r="Q36" s="280"/>
      <c r="R36" s="149"/>
      <c r="S36" s="282"/>
      <c r="T36" s="279"/>
      <c r="U36" s="280"/>
      <c r="V36" s="149"/>
      <c r="W36" s="282"/>
      <c r="X36" s="279"/>
      <c r="Y36" s="280"/>
      <c r="Z36" s="285"/>
      <c r="AA36" s="250"/>
    </row>
    <row r="37" spans="1:27" s="74" customFormat="1" ht="23.25" customHeight="1">
      <c r="A37" s="132"/>
      <c r="B37" s="128" t="s">
        <v>273</v>
      </c>
      <c r="C37" s="75" t="s">
        <v>135</v>
      </c>
      <c r="D37" s="274">
        <f>H37+L37+P37+T37+X37</f>
        <v>12260303</v>
      </c>
      <c r="E37" s="275">
        <f>I37+M37+Q37+U37+Y37</f>
        <v>11967243</v>
      </c>
      <c r="F37" s="249">
        <f t="shared" si="11"/>
        <v>-293060</v>
      </c>
      <c r="G37" s="276">
        <f t="shared" si="20"/>
        <v>-2.390316128402373</v>
      </c>
      <c r="H37" s="274">
        <f>SUM('表２１－２:表２１－３'!H37)</f>
        <v>48347</v>
      </c>
      <c r="I37" s="275">
        <f>SUM('表２１－２:表２１－３'!I37)</f>
        <v>103341</v>
      </c>
      <c r="J37" s="249">
        <f>I37-H37</f>
        <v>54994</v>
      </c>
      <c r="K37" s="276">
        <f t="shared" si="21"/>
        <v>113.74852627877634</v>
      </c>
      <c r="L37" s="274">
        <f>SUM('表２１－２:表２１－３'!L37)</f>
        <v>4711447</v>
      </c>
      <c r="M37" s="275">
        <f>SUM('表２１－２:表２１－３'!M37)</f>
        <v>4229989</v>
      </c>
      <c r="N37" s="249">
        <f>M37-L37</f>
        <v>-481458</v>
      </c>
      <c r="O37" s="276">
        <f t="shared" si="22"/>
        <v>-10.218898779928969</v>
      </c>
      <c r="P37" s="274">
        <f>SUM('表２１－２:表２１－３'!P37)</f>
        <v>7240352</v>
      </c>
      <c r="Q37" s="275">
        <f>SUM('表２１－２:表２１－３'!Q37)</f>
        <v>7505913</v>
      </c>
      <c r="R37" s="249">
        <f>Q37-P37</f>
        <v>265561</v>
      </c>
      <c r="S37" s="276">
        <f t="shared" si="23"/>
        <v>3.6677912897052516</v>
      </c>
      <c r="T37" s="274">
        <f>SUM('表２１－２:表２１－３'!T37)</f>
        <v>259500</v>
      </c>
      <c r="U37" s="275">
        <f>SUM('表２１－２:表２１－３'!U37)</f>
        <v>127900</v>
      </c>
      <c r="V37" s="249">
        <f>U37-T37</f>
        <v>-131600</v>
      </c>
      <c r="W37" s="276">
        <f t="shared" si="24"/>
        <v>-50.712909441233144</v>
      </c>
      <c r="X37" s="274">
        <f>SUM('表２１－２:表２１－３'!X37)</f>
        <v>657</v>
      </c>
      <c r="Y37" s="275">
        <f>SUM('表２１－２:表２１－３'!Y37)</f>
        <v>100</v>
      </c>
      <c r="Z37" s="277">
        <f t="shared" si="9"/>
        <v>-557</v>
      </c>
      <c r="AA37" s="278">
        <f t="shared" si="25"/>
        <v>-84.779299847793</v>
      </c>
    </row>
    <row r="38" spans="1:27" s="74" customFormat="1" ht="23.25" customHeight="1" thickBot="1">
      <c r="A38" s="127"/>
      <c r="B38" s="130"/>
      <c r="C38" s="78"/>
      <c r="D38" s="295"/>
      <c r="E38" s="296"/>
      <c r="F38" s="150"/>
      <c r="G38" s="297"/>
      <c r="H38" s="295"/>
      <c r="I38" s="296"/>
      <c r="J38" s="150"/>
      <c r="K38" s="297"/>
      <c r="L38" s="295"/>
      <c r="M38" s="296"/>
      <c r="N38" s="150"/>
      <c r="O38" s="297"/>
      <c r="P38" s="295"/>
      <c r="Q38" s="296"/>
      <c r="R38" s="150"/>
      <c r="S38" s="297"/>
      <c r="T38" s="295"/>
      <c r="U38" s="296"/>
      <c r="V38" s="150"/>
      <c r="W38" s="297"/>
      <c r="X38" s="295"/>
      <c r="Y38" s="296"/>
      <c r="Z38" s="150"/>
      <c r="AA38" s="298"/>
    </row>
    <row r="39" spans="1:28" ht="12.75">
      <c r="A39" s="133"/>
      <c r="B39" s="79"/>
      <c r="C39" s="79"/>
      <c r="D39" s="79"/>
      <c r="E39" s="79"/>
      <c r="F39" s="79"/>
      <c r="G39" s="79"/>
      <c r="H39" s="79"/>
      <c r="I39" s="79"/>
      <c r="J39" s="79"/>
      <c r="K39" s="79"/>
      <c r="L39" s="79"/>
      <c r="M39" s="79"/>
      <c r="N39" s="79"/>
      <c r="O39" s="79"/>
      <c r="P39" s="72"/>
      <c r="Q39" s="72"/>
      <c r="R39" s="72"/>
      <c r="S39" s="79"/>
      <c r="T39" s="72"/>
      <c r="U39" s="72"/>
      <c r="V39" s="72"/>
      <c r="W39" s="79"/>
      <c r="X39" s="72"/>
      <c r="Y39" s="72"/>
      <c r="Z39" s="72"/>
      <c r="AA39" s="72"/>
      <c r="AB39" s="72"/>
    </row>
    <row r="40" spans="1:28" ht="13.5" thickBot="1">
      <c r="A40" s="126"/>
      <c r="B40" s="72"/>
      <c r="C40" s="72"/>
      <c r="D40" s="72"/>
      <c r="E40" s="72"/>
      <c r="F40" s="72"/>
      <c r="H40" s="72"/>
      <c r="I40" s="72"/>
      <c r="J40" s="72"/>
      <c r="L40" s="72"/>
      <c r="M40" s="72"/>
      <c r="N40" s="72"/>
      <c r="P40" s="72"/>
      <c r="Q40" s="72"/>
      <c r="R40" s="72"/>
      <c r="T40" s="72"/>
      <c r="U40" s="72"/>
      <c r="V40" s="72"/>
      <c r="X40" s="72"/>
      <c r="Y40" s="72"/>
      <c r="Z40" s="72"/>
      <c r="AA40" s="72"/>
      <c r="AB40" s="72"/>
    </row>
    <row r="41" spans="1:28" s="65" customFormat="1" ht="23.25" customHeight="1">
      <c r="A41" s="1178" t="s">
        <v>165</v>
      </c>
      <c r="B41" s="1179"/>
      <c r="C41" s="1180"/>
      <c r="D41" s="455" t="s">
        <v>197</v>
      </c>
      <c r="E41" s="456"/>
      <c r="F41" s="456"/>
      <c r="G41" s="86"/>
      <c r="H41" s="80" t="s">
        <v>198</v>
      </c>
      <c r="I41" s="81"/>
      <c r="J41" s="81"/>
      <c r="K41" s="81"/>
      <c r="L41" s="81"/>
      <c r="M41" s="81"/>
      <c r="N41" s="81"/>
      <c r="O41" s="474"/>
      <c r="P41" s="81"/>
      <c r="Q41" s="81"/>
      <c r="R41" s="81"/>
      <c r="S41" s="81"/>
      <c r="T41" s="473" t="s">
        <v>199</v>
      </c>
      <c r="U41" s="463"/>
      <c r="V41" s="463"/>
      <c r="W41" s="138"/>
      <c r="AA41" s="255"/>
      <c r="AB41" s="255"/>
    </row>
    <row r="42" spans="1:23" s="65" customFormat="1" ht="23.25" customHeight="1">
      <c r="A42" s="1181"/>
      <c r="B42" s="1182"/>
      <c r="C42" s="1183"/>
      <c r="D42" s="457" t="s">
        <v>266</v>
      </c>
      <c r="E42" s="458"/>
      <c r="F42" s="458"/>
      <c r="G42" s="253"/>
      <c r="H42" s="459" t="s">
        <v>200</v>
      </c>
      <c r="I42" s="460"/>
      <c r="J42" s="460"/>
      <c r="K42" s="90"/>
      <c r="L42" s="459" t="s">
        <v>23</v>
      </c>
      <c r="M42" s="461"/>
      <c r="N42" s="461"/>
      <c r="O42" s="90"/>
      <c r="P42" s="459" t="s">
        <v>25</v>
      </c>
      <c r="Q42" s="461"/>
      <c r="R42" s="461"/>
      <c r="S42" s="462"/>
      <c r="T42" s="1177" t="s">
        <v>169</v>
      </c>
      <c r="U42" s="1169" t="s">
        <v>170</v>
      </c>
      <c r="V42" s="1171" t="s">
        <v>173</v>
      </c>
      <c r="W42" s="1173" t="s">
        <v>172</v>
      </c>
    </row>
    <row r="43" spans="1:24" s="65" customFormat="1" ht="23.25" customHeight="1">
      <c r="A43" s="1184"/>
      <c r="B43" s="1185"/>
      <c r="C43" s="1186"/>
      <c r="D43" s="68" t="s">
        <v>169</v>
      </c>
      <c r="E43" s="68" t="s">
        <v>170</v>
      </c>
      <c r="F43" s="68" t="s">
        <v>173</v>
      </c>
      <c r="G43" s="69" t="s">
        <v>172</v>
      </c>
      <c r="H43" s="71" t="s">
        <v>174</v>
      </c>
      <c r="I43" s="70" t="s">
        <v>170</v>
      </c>
      <c r="J43" s="68" t="s">
        <v>173</v>
      </c>
      <c r="K43" s="69" t="s">
        <v>172</v>
      </c>
      <c r="L43" s="70" t="s">
        <v>169</v>
      </c>
      <c r="M43" s="70" t="s">
        <v>170</v>
      </c>
      <c r="N43" s="68" t="s">
        <v>173</v>
      </c>
      <c r="O43" s="69" t="s">
        <v>172</v>
      </c>
      <c r="P43" s="70" t="s">
        <v>169</v>
      </c>
      <c r="Q43" s="70" t="s">
        <v>170</v>
      </c>
      <c r="R43" s="68" t="s">
        <v>173</v>
      </c>
      <c r="S43" s="464" t="s">
        <v>172</v>
      </c>
      <c r="T43" s="1170"/>
      <c r="U43" s="1170"/>
      <c r="V43" s="1172"/>
      <c r="W43" s="1174"/>
      <c r="X43" s="471"/>
    </row>
    <row r="44" spans="1:24" ht="23.25" customHeight="1">
      <c r="A44" s="126"/>
      <c r="B44" s="72"/>
      <c r="C44" s="73"/>
      <c r="D44" s="266"/>
      <c r="E44" s="267"/>
      <c r="F44" s="268"/>
      <c r="G44" s="269"/>
      <c r="H44" s="266"/>
      <c r="I44" s="267"/>
      <c r="J44" s="268"/>
      <c r="K44" s="269"/>
      <c r="L44" s="266"/>
      <c r="M44" s="267"/>
      <c r="N44" s="268"/>
      <c r="O44" s="269"/>
      <c r="P44" s="266"/>
      <c r="Q44" s="267"/>
      <c r="R44" s="268"/>
      <c r="S44" s="269"/>
      <c r="T44" s="268"/>
      <c r="U44" s="268"/>
      <c r="V44" s="268"/>
      <c r="W44" s="467"/>
      <c r="X44" s="126"/>
    </row>
    <row r="45" spans="1:24" ht="23.25" customHeight="1">
      <c r="A45" s="131" t="s">
        <v>175</v>
      </c>
      <c r="B45" s="128"/>
      <c r="C45" s="75"/>
      <c r="D45" s="274">
        <f>D47+D62+D74</f>
        <v>27658</v>
      </c>
      <c r="E45" s="300">
        <f>E47+E62+E74</f>
        <v>24188</v>
      </c>
      <c r="F45" s="249">
        <f>E45-D45</f>
        <v>-3470</v>
      </c>
      <c r="G45" s="276">
        <f>_xlfn.IFERROR(F45/D45*100,"")</f>
        <v>-12.546098777930437</v>
      </c>
      <c r="H45" s="274">
        <f>H47+H62+H74</f>
        <v>157159448</v>
      </c>
      <c r="I45" s="275">
        <f>I47+I62+I74</f>
        <v>155506132</v>
      </c>
      <c r="J45" s="249">
        <f>I45-H45</f>
        <v>-1653316</v>
      </c>
      <c r="K45" s="276">
        <f>_xlfn.IFERROR(J45/H45*100,"")</f>
        <v>-1.0519991136644868</v>
      </c>
      <c r="L45" s="274">
        <f>L47+L62+L74</f>
        <v>24907891</v>
      </c>
      <c r="M45" s="275">
        <f>M47+M62+M74</f>
        <v>20414440</v>
      </c>
      <c r="N45" s="249">
        <f>M45-L45</f>
        <v>-4493451</v>
      </c>
      <c r="O45" s="276">
        <f>_xlfn.IFERROR(N45/L45*100,"")</f>
        <v>-18.040270852317445</v>
      </c>
      <c r="P45" s="274">
        <f>P47+P62+P74</f>
        <v>9045808</v>
      </c>
      <c r="Q45" s="275">
        <f>Q47+Q62+Q74</f>
        <v>8933055</v>
      </c>
      <c r="R45" s="249">
        <f>Q45-P45</f>
        <v>-112753</v>
      </c>
      <c r="S45" s="276">
        <f>_xlfn.IFERROR(R45/P45*100,"")</f>
        <v>-1.2464668717266605</v>
      </c>
      <c r="T45" s="275">
        <f>T47+T62+T74</f>
        <v>4773578</v>
      </c>
      <c r="U45" s="275">
        <f>U47+U62+U74</f>
        <v>4384425</v>
      </c>
      <c r="V45" s="249">
        <f>U45-T45</f>
        <v>-389153</v>
      </c>
      <c r="W45" s="468">
        <f>_xlfn.IFERROR(V45/T45*100,"")</f>
        <v>-8.152228789390264</v>
      </c>
      <c r="X45" s="126"/>
    </row>
    <row r="46" spans="1:24" ht="23.25" customHeight="1">
      <c r="A46" s="132"/>
      <c r="B46" s="129"/>
      <c r="C46" s="76"/>
      <c r="D46" s="279"/>
      <c r="E46" s="280"/>
      <c r="F46" s="149"/>
      <c r="G46" s="282"/>
      <c r="H46" s="293"/>
      <c r="I46" s="294"/>
      <c r="J46" s="149"/>
      <c r="K46" s="282"/>
      <c r="L46" s="293"/>
      <c r="M46" s="294"/>
      <c r="N46" s="149"/>
      <c r="O46" s="282"/>
      <c r="P46" s="293"/>
      <c r="Q46" s="294"/>
      <c r="R46" s="149"/>
      <c r="S46" s="282"/>
      <c r="T46" s="302"/>
      <c r="U46" s="302"/>
      <c r="V46" s="149"/>
      <c r="W46" s="469"/>
      <c r="X46" s="126"/>
    </row>
    <row r="47" spans="1:24" ht="23.25" customHeight="1">
      <c r="A47" s="132"/>
      <c r="B47" s="128" t="s">
        <v>176</v>
      </c>
      <c r="C47" s="75" t="s">
        <v>135</v>
      </c>
      <c r="D47" s="303"/>
      <c r="E47" s="304"/>
      <c r="F47" s="305"/>
      <c r="G47" s="306"/>
      <c r="H47" s="274">
        <f>SUM(H48:H60)</f>
        <v>132177523</v>
      </c>
      <c r="I47" s="275">
        <f>SUM(I48:I60)</f>
        <v>130605849</v>
      </c>
      <c r="J47" s="249">
        <f aca="true" t="shared" si="26" ref="J47:J58">I47-H47</f>
        <v>-1571674</v>
      </c>
      <c r="K47" s="276">
        <f aca="true" t="shared" si="27" ref="K47:K60">_xlfn.IFERROR(J47/H47*100,"")</f>
        <v>-1.1890629846346872</v>
      </c>
      <c r="L47" s="274">
        <f>SUM(L48:L60)</f>
        <v>17406730</v>
      </c>
      <c r="M47" s="275">
        <f>SUM(M48:M60)</f>
        <v>17099097</v>
      </c>
      <c r="N47" s="249">
        <f aca="true" t="shared" si="28" ref="N47:N58">M47-L47</f>
        <v>-307633</v>
      </c>
      <c r="O47" s="276">
        <f aca="true" t="shared" si="29" ref="O47:O60">_xlfn.IFERROR(N47/L47*100,"")</f>
        <v>-1.7673221794099179</v>
      </c>
      <c r="P47" s="274">
        <f>SUM(P48:P60)</f>
        <v>7485430</v>
      </c>
      <c r="Q47" s="275">
        <f>SUM(Q48:Q60)</f>
        <v>7450088</v>
      </c>
      <c r="R47" s="249">
        <f aca="true" t="shared" si="30" ref="R47:R58">Q47-P47</f>
        <v>-35342</v>
      </c>
      <c r="S47" s="276">
        <f aca="true" t="shared" si="31" ref="S47:S60">_xlfn.IFERROR(R47/P47*100,"")</f>
        <v>-0.47214388485364234</v>
      </c>
      <c r="T47" s="275">
        <f>SUM(T48:T60)</f>
        <v>3482814</v>
      </c>
      <c r="U47" s="275">
        <f>SUM(U48:U60)</f>
        <v>3328990</v>
      </c>
      <c r="V47" s="249">
        <f aca="true" t="shared" si="32" ref="V47:V58">U47-T47</f>
        <v>-153824</v>
      </c>
      <c r="W47" s="468">
        <f aca="true" t="shared" si="33" ref="W47:W60">_xlfn.IFERROR(V47/T47*100,"")</f>
        <v>-4.416658483628468</v>
      </c>
      <c r="X47" s="472"/>
    </row>
    <row r="48" spans="1:24" ht="23.25" customHeight="1">
      <c r="A48" s="132"/>
      <c r="B48" s="129"/>
      <c r="C48" s="76" t="s">
        <v>177</v>
      </c>
      <c r="D48" s="303"/>
      <c r="E48" s="304"/>
      <c r="F48" s="305"/>
      <c r="G48" s="306"/>
      <c r="H48" s="290">
        <f>SUM('表２１－２:表２１－３'!H48)</f>
        <v>1741833</v>
      </c>
      <c r="I48" s="291">
        <f>SUM('表２１－２:表２１－３'!I48)</f>
        <v>1460184</v>
      </c>
      <c r="J48" s="149">
        <f t="shared" si="26"/>
        <v>-281649</v>
      </c>
      <c r="K48" s="282">
        <f t="shared" si="27"/>
        <v>-16.169690205662654</v>
      </c>
      <c r="L48" s="290">
        <f>SUM('表２１－２:表２１－３'!L48)</f>
        <v>245396</v>
      </c>
      <c r="M48" s="291">
        <f>SUM('表２１－２:表２１－３'!M48)</f>
        <v>121569</v>
      </c>
      <c r="N48" s="149">
        <f t="shared" si="28"/>
        <v>-123827</v>
      </c>
      <c r="O48" s="282">
        <f t="shared" si="29"/>
        <v>-50.4600726988215</v>
      </c>
      <c r="P48" s="290">
        <f>SUM('表２１－２:表２１－３'!P48)</f>
        <v>62175</v>
      </c>
      <c r="Q48" s="291">
        <f>SUM('表２１－２:表２１－３'!Q48)</f>
        <v>62545</v>
      </c>
      <c r="R48" s="149">
        <f t="shared" si="30"/>
        <v>370</v>
      </c>
      <c r="S48" s="282">
        <f t="shared" si="31"/>
        <v>0.5950944913550462</v>
      </c>
      <c r="T48" s="307">
        <f>SUM('表２１－２:表２１－３'!T48)</f>
        <v>65683</v>
      </c>
      <c r="U48" s="307">
        <f>SUM('表２１－２:表２１－３'!U48)</f>
        <v>12749</v>
      </c>
      <c r="V48" s="149">
        <f t="shared" si="32"/>
        <v>-52934</v>
      </c>
      <c r="W48" s="469">
        <f t="shared" si="33"/>
        <v>-80.59010702921609</v>
      </c>
      <c r="X48" s="126"/>
    </row>
    <row r="49" spans="1:24" ht="23.25" customHeight="1">
      <c r="A49" s="132"/>
      <c r="B49" s="129"/>
      <c r="C49" s="76" t="s">
        <v>178</v>
      </c>
      <c r="D49" s="303"/>
      <c r="E49" s="304"/>
      <c r="F49" s="305"/>
      <c r="G49" s="306"/>
      <c r="H49" s="290">
        <f>SUM('表２１－２:表２１－３'!H49)</f>
        <v>56763997</v>
      </c>
      <c r="I49" s="291">
        <f>SUM('表２１－２:表２１－３'!I49)</f>
        <v>56463656</v>
      </c>
      <c r="J49" s="149">
        <f t="shared" si="26"/>
        <v>-300341</v>
      </c>
      <c r="K49" s="282">
        <f t="shared" si="27"/>
        <v>-0.5291047422189104</v>
      </c>
      <c r="L49" s="290">
        <f>SUM('表２１－２:表２１－３'!L49)</f>
        <v>9935228</v>
      </c>
      <c r="M49" s="291">
        <f>SUM('表２１－２:表２１－３'!M49)</f>
        <v>8785677</v>
      </c>
      <c r="N49" s="149">
        <f t="shared" si="28"/>
        <v>-1149551</v>
      </c>
      <c r="O49" s="282">
        <f t="shared" si="29"/>
        <v>-11.570454145591826</v>
      </c>
      <c r="P49" s="290">
        <f>SUM('表２１－２:表２１－３'!P49)</f>
        <v>3452845</v>
      </c>
      <c r="Q49" s="291">
        <f>SUM('表２１－２:表２１－３'!Q49)</f>
        <v>3613033</v>
      </c>
      <c r="R49" s="149">
        <f t="shared" si="30"/>
        <v>160188</v>
      </c>
      <c r="S49" s="282">
        <f t="shared" si="31"/>
        <v>4.639304689321415</v>
      </c>
      <c r="T49" s="307">
        <f>SUM('表２１－２:表２１－３'!T49)</f>
        <v>59760</v>
      </c>
      <c r="U49" s="307">
        <f>SUM('表２１－２:表２１－３'!U49)</f>
        <v>61284</v>
      </c>
      <c r="V49" s="149">
        <f t="shared" si="32"/>
        <v>1524</v>
      </c>
      <c r="W49" s="469">
        <f t="shared" si="33"/>
        <v>2.5502008032128516</v>
      </c>
      <c r="X49" s="126"/>
    </row>
    <row r="50" spans="1:24" ht="23.25" customHeight="1">
      <c r="A50" s="132"/>
      <c r="B50" s="129"/>
      <c r="C50" s="76" t="s">
        <v>179</v>
      </c>
      <c r="D50" s="303"/>
      <c r="E50" s="304"/>
      <c r="F50" s="305"/>
      <c r="G50" s="306"/>
      <c r="H50" s="290">
        <f>SUM('表２１－２:表２１－３'!H50)</f>
        <v>33163959</v>
      </c>
      <c r="I50" s="291">
        <f>SUM('表２１－２:表２１－３'!I50)</f>
        <v>31550447</v>
      </c>
      <c r="J50" s="149">
        <f t="shared" si="26"/>
        <v>-1613512</v>
      </c>
      <c r="K50" s="282">
        <f t="shared" si="27"/>
        <v>-4.86525749232774</v>
      </c>
      <c r="L50" s="290">
        <f>SUM('表２１－２:表２１－３'!L50)</f>
        <v>5997711</v>
      </c>
      <c r="M50" s="291">
        <f>SUM('表２１－２:表２１－３'!M50)</f>
        <v>4939995</v>
      </c>
      <c r="N50" s="149">
        <f t="shared" si="28"/>
        <v>-1057716</v>
      </c>
      <c r="O50" s="282">
        <f t="shared" si="29"/>
        <v>-17.6353278775853</v>
      </c>
      <c r="P50" s="290">
        <f>SUM('表２１－２:表２１－３'!P50)</f>
        <v>2464746</v>
      </c>
      <c r="Q50" s="291">
        <f>SUM('表２１－２:表２１－３'!Q50)</f>
        <v>2431675</v>
      </c>
      <c r="R50" s="149">
        <f t="shared" si="30"/>
        <v>-33071</v>
      </c>
      <c r="S50" s="282">
        <f t="shared" si="31"/>
        <v>-1.3417609765874454</v>
      </c>
      <c r="T50" s="307">
        <f>SUM('表２１－２:表２１－３'!T50)</f>
        <v>33630</v>
      </c>
      <c r="U50" s="307">
        <f>SUM('表２１－２:表２１－３'!U50)</f>
        <v>35186</v>
      </c>
      <c r="V50" s="149">
        <f t="shared" si="32"/>
        <v>1556</v>
      </c>
      <c r="W50" s="469">
        <f t="shared" si="33"/>
        <v>4.626821290514422</v>
      </c>
      <c r="X50" s="126"/>
    </row>
    <row r="51" spans="1:24" ht="23.25" customHeight="1">
      <c r="A51" s="132"/>
      <c r="B51" s="129"/>
      <c r="C51" s="76" t="s">
        <v>245</v>
      </c>
      <c r="D51" s="303"/>
      <c r="E51" s="304"/>
      <c r="F51" s="305"/>
      <c r="G51" s="306"/>
      <c r="H51" s="290">
        <f>SUM('表２１－２:表２１－３'!H51)</f>
        <v>9058296</v>
      </c>
      <c r="I51" s="291">
        <f>SUM('表２１－２:表２１－３'!I51)</f>
        <v>9391819</v>
      </c>
      <c r="J51" s="149">
        <f t="shared" si="26"/>
        <v>333523</v>
      </c>
      <c r="K51" s="282">
        <f t="shared" si="27"/>
        <v>3.6819618171011412</v>
      </c>
      <c r="L51" s="290">
        <f>SUM('表２１－２:表２１－３'!L51)</f>
        <v>328458</v>
      </c>
      <c r="M51" s="291">
        <f>SUM('表２１－２:表２１－３'!M51)</f>
        <v>177031</v>
      </c>
      <c r="N51" s="149">
        <f t="shared" si="28"/>
        <v>-151427</v>
      </c>
      <c r="O51" s="282">
        <f t="shared" si="29"/>
        <v>-46.102393608924125</v>
      </c>
      <c r="P51" s="290">
        <f>SUM('表２１－２:表２１－３'!P51)</f>
        <v>200701</v>
      </c>
      <c r="Q51" s="291">
        <f>SUM('表２１－２:表２１－３'!Q51)</f>
        <v>251950</v>
      </c>
      <c r="R51" s="149">
        <f t="shared" si="30"/>
        <v>51249</v>
      </c>
      <c r="S51" s="282">
        <f t="shared" si="31"/>
        <v>25.534999825611234</v>
      </c>
      <c r="T51" s="307">
        <f>SUM('表２１－２:表２１－３'!T51)</f>
        <v>1666</v>
      </c>
      <c r="U51" s="307">
        <f>SUM('表２１－２:表２１－３'!U51)</f>
        <v>837</v>
      </c>
      <c r="V51" s="149">
        <f t="shared" si="32"/>
        <v>-829</v>
      </c>
      <c r="W51" s="469">
        <f t="shared" si="33"/>
        <v>-49.759903961584634</v>
      </c>
      <c r="X51" s="126"/>
    </row>
    <row r="52" spans="1:24" ht="23.25" customHeight="1">
      <c r="A52" s="132"/>
      <c r="B52" s="129"/>
      <c r="C52" s="76" t="s">
        <v>180</v>
      </c>
      <c r="D52" s="303"/>
      <c r="E52" s="304"/>
      <c r="F52" s="305"/>
      <c r="G52" s="306"/>
      <c r="H52" s="290">
        <f>SUM('表２１－２:表２１－３'!H52)</f>
        <v>27420309</v>
      </c>
      <c r="I52" s="291">
        <f>SUM('表２１－２:表２１－３'!I52)</f>
        <v>27394796</v>
      </c>
      <c r="J52" s="149">
        <f t="shared" si="26"/>
        <v>-25513</v>
      </c>
      <c r="K52" s="282">
        <f t="shared" si="27"/>
        <v>-0.09304417393691661</v>
      </c>
      <c r="L52" s="290">
        <f>SUM('表２１－２:表２１－３'!L52)</f>
        <v>850392</v>
      </c>
      <c r="M52" s="291">
        <f>SUM('表２１－２:表２１－３'!M52)</f>
        <v>2829420</v>
      </c>
      <c r="N52" s="149">
        <f t="shared" si="28"/>
        <v>1979028</v>
      </c>
      <c r="O52" s="282">
        <f t="shared" si="29"/>
        <v>232.7194987723309</v>
      </c>
      <c r="P52" s="290">
        <f>SUM('表２１－２:表２１－３'!P52)</f>
        <v>1270727</v>
      </c>
      <c r="Q52" s="291">
        <f>SUM('表２１－２:表２１－３'!Q52)</f>
        <v>1054533</v>
      </c>
      <c r="R52" s="149">
        <f t="shared" si="30"/>
        <v>-216194</v>
      </c>
      <c r="S52" s="282">
        <f t="shared" si="31"/>
        <v>-17.013410433554967</v>
      </c>
      <c r="T52" s="307">
        <f>SUM('表２１－２:表２１－３'!T52)</f>
        <v>3061497</v>
      </c>
      <c r="U52" s="307">
        <f>SUM('表２１－２:表２１－３'!U52)</f>
        <v>2979391</v>
      </c>
      <c r="V52" s="149">
        <f t="shared" si="32"/>
        <v>-82106</v>
      </c>
      <c r="W52" s="469">
        <f t="shared" si="33"/>
        <v>-2.681890591432884</v>
      </c>
      <c r="X52" s="126"/>
    </row>
    <row r="53" spans="1:24" ht="23.25" customHeight="1">
      <c r="A53" s="132"/>
      <c r="B53" s="129"/>
      <c r="C53" s="76" t="s">
        <v>181</v>
      </c>
      <c r="D53" s="303"/>
      <c r="E53" s="304"/>
      <c r="F53" s="305"/>
      <c r="G53" s="306"/>
      <c r="H53" s="290">
        <f>SUM('表２１－２:表２１－３'!H53)</f>
        <v>884836</v>
      </c>
      <c r="I53" s="291">
        <f>SUM('表２１－２:表２１－３'!I53)</f>
        <v>895678</v>
      </c>
      <c r="J53" s="149">
        <f t="shared" si="26"/>
        <v>10842</v>
      </c>
      <c r="K53" s="282">
        <f t="shared" si="27"/>
        <v>1.22531180919402</v>
      </c>
      <c r="L53" s="290">
        <f>SUM('表２１－２:表２１－３'!L53)</f>
        <v>1991</v>
      </c>
      <c r="M53" s="291">
        <f>SUM('表２１－２:表２１－３'!M53)</f>
        <v>861</v>
      </c>
      <c r="N53" s="149">
        <f t="shared" si="28"/>
        <v>-1130</v>
      </c>
      <c r="O53" s="282">
        <f t="shared" si="29"/>
        <v>-56.75539929683576</v>
      </c>
      <c r="P53" s="290">
        <f>SUM('表２１－２:表２１－３'!P53)</f>
        <v>0</v>
      </c>
      <c r="Q53" s="291">
        <f>SUM('表２１－２:表２１－３'!Q53)</f>
        <v>0</v>
      </c>
      <c r="R53" s="149">
        <f t="shared" si="30"/>
        <v>0</v>
      </c>
      <c r="S53" s="282">
        <f t="shared" si="31"/>
      </c>
      <c r="T53" s="307">
        <f>SUM('表２１－２:表２１－３'!T53)</f>
        <v>12202</v>
      </c>
      <c r="U53" s="307">
        <f>SUM('表２１－２:表２１－３'!U53)</f>
        <v>11828</v>
      </c>
      <c r="V53" s="149">
        <f t="shared" si="32"/>
        <v>-374</v>
      </c>
      <c r="W53" s="469">
        <f t="shared" si="33"/>
        <v>-3.0650712997869203</v>
      </c>
      <c r="X53" s="126"/>
    </row>
    <row r="54" spans="1:24" ht="23.25" customHeight="1">
      <c r="A54" s="132"/>
      <c r="B54" s="129"/>
      <c r="C54" s="76" t="s">
        <v>182</v>
      </c>
      <c r="D54" s="303"/>
      <c r="E54" s="304"/>
      <c r="F54" s="305"/>
      <c r="G54" s="306"/>
      <c r="H54" s="290">
        <f>SUM('表２１－２:表２１－３'!H54)</f>
        <v>173464</v>
      </c>
      <c r="I54" s="291">
        <f>SUM('表２１－２:表２１－３'!I54)</f>
        <v>177018</v>
      </c>
      <c r="J54" s="149">
        <f t="shared" si="26"/>
        <v>3554</v>
      </c>
      <c r="K54" s="282">
        <f t="shared" si="27"/>
        <v>2.048840105151501</v>
      </c>
      <c r="L54" s="290">
        <f>SUM('表２１－２:表２１－３'!L54)</f>
        <v>0</v>
      </c>
      <c r="M54" s="291">
        <f>SUM('表２１－２:表２１－３'!M54)</f>
        <v>0</v>
      </c>
      <c r="N54" s="149">
        <f t="shared" si="28"/>
        <v>0</v>
      </c>
      <c r="O54" s="282">
        <f t="shared" si="29"/>
      </c>
      <c r="P54" s="290">
        <f>SUM('表２１－２:表２１－３'!P54)</f>
        <v>0</v>
      </c>
      <c r="Q54" s="291">
        <f>SUM('表２１－２:表２１－３'!Q54)</f>
        <v>0</v>
      </c>
      <c r="R54" s="149">
        <f t="shared" si="30"/>
        <v>0</v>
      </c>
      <c r="S54" s="282">
        <f t="shared" si="31"/>
      </c>
      <c r="T54" s="307">
        <f>SUM('表２１－２:表２１－３'!T54)</f>
        <v>3552</v>
      </c>
      <c r="U54" s="307">
        <f>SUM('表２１－２:表２１－３'!U54)</f>
        <v>3692</v>
      </c>
      <c r="V54" s="149">
        <f t="shared" si="32"/>
        <v>140</v>
      </c>
      <c r="W54" s="469">
        <f t="shared" si="33"/>
        <v>3.9414414414414414</v>
      </c>
      <c r="X54" s="126"/>
    </row>
    <row r="55" spans="1:24" ht="23.25" customHeight="1">
      <c r="A55" s="132"/>
      <c r="B55" s="129"/>
      <c r="C55" s="76" t="s">
        <v>38</v>
      </c>
      <c r="D55" s="303"/>
      <c r="E55" s="304"/>
      <c r="F55" s="305"/>
      <c r="G55" s="306"/>
      <c r="H55" s="290">
        <f>SUM('表２１－２:表２１－３'!H55)</f>
        <v>2094499</v>
      </c>
      <c r="I55" s="291">
        <f>SUM('表２１－２:表２１－３'!I55)</f>
        <v>2189438</v>
      </c>
      <c r="J55" s="149">
        <f t="shared" si="26"/>
        <v>94939</v>
      </c>
      <c r="K55" s="282">
        <f t="shared" si="27"/>
        <v>4.532778483064447</v>
      </c>
      <c r="L55" s="290">
        <f>SUM('表２１－２:表２１－３'!L55)</f>
        <v>2645</v>
      </c>
      <c r="M55" s="291">
        <f>SUM('表２１－２:表２１－３'!M55)</f>
        <v>11660</v>
      </c>
      <c r="N55" s="149">
        <f t="shared" si="28"/>
        <v>9015</v>
      </c>
      <c r="O55" s="282">
        <f t="shared" si="29"/>
        <v>340.83175803402645</v>
      </c>
      <c r="P55" s="290">
        <f>SUM('表２１－２:表２１－３'!P55)</f>
        <v>33645</v>
      </c>
      <c r="Q55" s="291">
        <f>SUM('表２１－２:表２１－３'!Q55)</f>
        <v>35842</v>
      </c>
      <c r="R55" s="149">
        <f t="shared" si="30"/>
        <v>2197</v>
      </c>
      <c r="S55" s="282">
        <f t="shared" si="31"/>
        <v>6.529945014117996</v>
      </c>
      <c r="T55" s="307">
        <f>SUM('表２１－２:表２１－３'!T55)</f>
        <v>164614</v>
      </c>
      <c r="U55" s="307">
        <f>SUM('表２１－２:表２１－３'!U55)</f>
        <v>156864</v>
      </c>
      <c r="V55" s="149">
        <f t="shared" si="32"/>
        <v>-7750</v>
      </c>
      <c r="W55" s="469">
        <f t="shared" si="33"/>
        <v>-4.707983525095071</v>
      </c>
      <c r="X55" s="126"/>
    </row>
    <row r="56" spans="1:24" ht="23.25" customHeight="1">
      <c r="A56" s="132"/>
      <c r="B56" s="129"/>
      <c r="C56" s="76" t="s">
        <v>183</v>
      </c>
      <c r="D56" s="303"/>
      <c r="E56" s="304"/>
      <c r="F56" s="305"/>
      <c r="G56" s="306"/>
      <c r="H56" s="290">
        <f>SUM('表２１－２:表２１－３'!H56)</f>
        <v>204339</v>
      </c>
      <c r="I56" s="291">
        <f>SUM('表２１－２:表２１－３'!I56)</f>
        <v>216093</v>
      </c>
      <c r="J56" s="149">
        <f t="shared" si="26"/>
        <v>11754</v>
      </c>
      <c r="K56" s="282">
        <f t="shared" si="27"/>
        <v>5.752205893148151</v>
      </c>
      <c r="L56" s="290">
        <f>SUM('表２１－２:表２１－３'!L56)</f>
        <v>2448</v>
      </c>
      <c r="M56" s="291">
        <f>SUM('表２１－２:表２１－３'!M56)</f>
        <v>30508</v>
      </c>
      <c r="N56" s="149">
        <f t="shared" si="28"/>
        <v>28060</v>
      </c>
      <c r="O56" s="282">
        <f t="shared" si="29"/>
        <v>1146.2418300653594</v>
      </c>
      <c r="P56" s="290">
        <f>SUM('表２１－２:表２１－３'!P56)</f>
        <v>0</v>
      </c>
      <c r="Q56" s="291">
        <f>SUM('表２１－２:表２１－３'!Q56)</f>
        <v>0</v>
      </c>
      <c r="R56" s="149">
        <f t="shared" si="30"/>
        <v>0</v>
      </c>
      <c r="S56" s="282">
        <f t="shared" si="31"/>
      </c>
      <c r="T56" s="307">
        <f>SUM('表２１－２:表２１－３'!T56)</f>
        <v>18232</v>
      </c>
      <c r="U56" s="307">
        <f>SUM('表２１－２:表２１－３'!U56)</f>
        <v>16288</v>
      </c>
      <c r="V56" s="149">
        <f t="shared" si="32"/>
        <v>-1944</v>
      </c>
      <c r="W56" s="469">
        <f t="shared" si="33"/>
        <v>-10.66257130320316</v>
      </c>
      <c r="X56" s="126"/>
    </row>
    <row r="57" spans="1:24" ht="23.25" customHeight="1">
      <c r="A57" s="132"/>
      <c r="B57" s="129"/>
      <c r="C57" s="76" t="s">
        <v>184</v>
      </c>
      <c r="D57" s="303"/>
      <c r="E57" s="304"/>
      <c r="F57" s="305"/>
      <c r="G57" s="306"/>
      <c r="H57" s="290">
        <f>SUM('表２１－２:表２１－３'!H57)</f>
        <v>0</v>
      </c>
      <c r="I57" s="291">
        <f>SUM('表２１－２:表２１－３'!I57)</f>
        <v>0</v>
      </c>
      <c r="J57" s="149">
        <f t="shared" si="26"/>
        <v>0</v>
      </c>
      <c r="K57" s="282">
        <f t="shared" si="27"/>
      </c>
      <c r="L57" s="290">
        <f>SUM('表２１－２:表２１－３'!L57)</f>
        <v>0</v>
      </c>
      <c r="M57" s="291">
        <f>SUM('表２１－２:表２１－３'!M57)</f>
        <v>0</v>
      </c>
      <c r="N57" s="149">
        <f t="shared" si="28"/>
        <v>0</v>
      </c>
      <c r="O57" s="282">
        <f t="shared" si="29"/>
      </c>
      <c r="P57" s="290">
        <f>SUM('表２１－２:表２１－３'!P57)</f>
        <v>0</v>
      </c>
      <c r="Q57" s="291">
        <f>SUM('表２１－２:表２１－３'!Q57)</f>
        <v>0</v>
      </c>
      <c r="R57" s="149">
        <f t="shared" si="30"/>
        <v>0</v>
      </c>
      <c r="S57" s="282">
        <f t="shared" si="31"/>
      </c>
      <c r="T57" s="307">
        <f>SUM('表２１－２:表２１－３'!T57)</f>
        <v>0</v>
      </c>
      <c r="U57" s="307">
        <f>SUM('表２１－２:表２１－３'!U57)</f>
        <v>0</v>
      </c>
      <c r="V57" s="149">
        <f t="shared" si="32"/>
        <v>0</v>
      </c>
      <c r="W57" s="469">
        <f t="shared" si="33"/>
      </c>
      <c r="X57" s="126"/>
    </row>
    <row r="58" spans="1:24" ht="23.25" customHeight="1">
      <c r="A58" s="132"/>
      <c r="B58" s="129"/>
      <c r="C58" s="76" t="s">
        <v>185</v>
      </c>
      <c r="D58" s="303"/>
      <c r="E58" s="304"/>
      <c r="F58" s="305"/>
      <c r="G58" s="306"/>
      <c r="H58" s="290">
        <f>SUM('表２１－２:表２１－３'!H58)</f>
        <v>0</v>
      </c>
      <c r="I58" s="291">
        <f>SUM('表２１－２:表２１－３'!I58)</f>
        <v>0</v>
      </c>
      <c r="J58" s="149">
        <f t="shared" si="26"/>
        <v>0</v>
      </c>
      <c r="K58" s="282">
        <f t="shared" si="27"/>
      </c>
      <c r="L58" s="290">
        <f>SUM('表２１－２:表２１－３'!L58)</f>
        <v>0</v>
      </c>
      <c r="M58" s="291">
        <f>SUM('表２１－２:表２１－３'!M58)</f>
        <v>0</v>
      </c>
      <c r="N58" s="149">
        <f t="shared" si="28"/>
        <v>0</v>
      </c>
      <c r="O58" s="282">
        <f t="shared" si="29"/>
      </c>
      <c r="P58" s="290">
        <f>SUM('表２１－２:表２１－３'!P58)</f>
        <v>0</v>
      </c>
      <c r="Q58" s="291">
        <f>SUM('表２１－２:表２１－３'!Q58)</f>
        <v>0</v>
      </c>
      <c r="R58" s="149">
        <f t="shared" si="30"/>
        <v>0</v>
      </c>
      <c r="S58" s="282">
        <f t="shared" si="31"/>
      </c>
      <c r="T58" s="307">
        <f>SUM('表２１－２:表２１－３'!T58)</f>
        <v>0</v>
      </c>
      <c r="U58" s="307">
        <f>SUM('表２１－２:表２１－３'!U58)</f>
        <v>0</v>
      </c>
      <c r="V58" s="149">
        <f t="shared" si="32"/>
        <v>0</v>
      </c>
      <c r="W58" s="469">
        <f t="shared" si="33"/>
      </c>
      <c r="X58" s="126"/>
    </row>
    <row r="59" spans="1:24" ht="23.25" customHeight="1">
      <c r="A59" s="132"/>
      <c r="B59" s="129"/>
      <c r="C59" s="76" t="s">
        <v>320</v>
      </c>
      <c r="D59" s="303"/>
      <c r="E59" s="304"/>
      <c r="F59" s="305"/>
      <c r="G59" s="306"/>
      <c r="H59" s="290">
        <f>SUM('表２１－２:表２１－３'!H59)</f>
        <v>671991</v>
      </c>
      <c r="I59" s="291">
        <f>SUM('表２１－２:表２１－３'!I59)</f>
        <v>866720</v>
      </c>
      <c r="J59" s="149">
        <f>I59-H59</f>
        <v>194729</v>
      </c>
      <c r="K59" s="282">
        <f t="shared" si="27"/>
        <v>28.977917859018948</v>
      </c>
      <c r="L59" s="290">
        <f>SUM('表２１－２:表２１－３'!L59)</f>
        <v>42461</v>
      </c>
      <c r="M59" s="291">
        <f>SUM('表２１－２:表２１－３'!M59)</f>
        <v>202376</v>
      </c>
      <c r="N59" s="149">
        <f>M59-L59</f>
        <v>159915</v>
      </c>
      <c r="O59" s="282">
        <f t="shared" si="29"/>
        <v>376.6161889734109</v>
      </c>
      <c r="P59" s="290">
        <f>SUM('表２１－２:表２１－３'!P59)</f>
        <v>591</v>
      </c>
      <c r="Q59" s="291">
        <f>SUM('表２１－２:表２１－３'!Q59)</f>
        <v>510</v>
      </c>
      <c r="R59" s="149">
        <f>Q59-P59</f>
        <v>-81</v>
      </c>
      <c r="S59" s="282">
        <f t="shared" si="31"/>
        <v>-13.705583756345177</v>
      </c>
      <c r="T59" s="307">
        <f>SUM('表２１－２:表２１－３'!T59)</f>
        <v>61978</v>
      </c>
      <c r="U59" s="307">
        <f>SUM('表２１－２:表２１－３'!U59)</f>
        <v>50871</v>
      </c>
      <c r="V59" s="149">
        <f>U59-T59</f>
        <v>-11107</v>
      </c>
      <c r="W59" s="469">
        <f t="shared" si="33"/>
        <v>-17.920875149246505</v>
      </c>
      <c r="X59" s="126"/>
    </row>
    <row r="60" spans="1:24" ht="23.25" customHeight="1">
      <c r="A60" s="132"/>
      <c r="B60" s="129"/>
      <c r="C60" s="76" t="s">
        <v>319</v>
      </c>
      <c r="D60" s="303"/>
      <c r="E60" s="304"/>
      <c r="F60" s="305"/>
      <c r="G60" s="306"/>
      <c r="H60" s="290">
        <f>SUM('表２１－２:表２１－３'!H60)</f>
        <v>0</v>
      </c>
      <c r="I60" s="291">
        <f>SUM('表２１－２:表２１－３'!I60)</f>
        <v>0</v>
      </c>
      <c r="J60" s="149">
        <f>I60-H60</f>
        <v>0</v>
      </c>
      <c r="K60" s="282">
        <f t="shared" si="27"/>
      </c>
      <c r="L60" s="290">
        <f>SUM('表２１－２:表２１－３'!L60)</f>
        <v>0</v>
      </c>
      <c r="M60" s="291">
        <f>SUM('表２１－２:表２１－３'!M60)</f>
        <v>0</v>
      </c>
      <c r="N60" s="149">
        <f>M60-L60</f>
        <v>0</v>
      </c>
      <c r="O60" s="282">
        <f t="shared" si="29"/>
      </c>
      <c r="P60" s="290">
        <f>SUM('表２１－２:表２１－３'!P60)</f>
        <v>0</v>
      </c>
      <c r="Q60" s="291">
        <f>SUM('表２１－２:表２１－３'!Q60)</f>
        <v>0</v>
      </c>
      <c r="R60" s="149">
        <f>Q60-P60</f>
        <v>0</v>
      </c>
      <c r="S60" s="282">
        <f t="shared" si="31"/>
      </c>
      <c r="T60" s="307">
        <f>SUM('表２１－２:表２１－３'!T60)</f>
        <v>0</v>
      </c>
      <c r="U60" s="307">
        <f>SUM('表２１－２:表２１－３'!U60)</f>
        <v>0</v>
      </c>
      <c r="V60" s="149">
        <f>U60-T60</f>
        <v>0</v>
      </c>
      <c r="W60" s="469">
        <f t="shared" si="33"/>
      </c>
      <c r="X60" s="126"/>
    </row>
    <row r="61" spans="1:24" ht="23.25" customHeight="1">
      <c r="A61" s="132"/>
      <c r="B61" s="129"/>
      <c r="C61" s="76"/>
      <c r="D61" s="279"/>
      <c r="E61" s="280"/>
      <c r="F61" s="251"/>
      <c r="G61" s="284"/>
      <c r="H61" s="279"/>
      <c r="I61" s="280"/>
      <c r="J61" s="149"/>
      <c r="K61" s="282"/>
      <c r="L61" s="293"/>
      <c r="M61" s="294"/>
      <c r="N61" s="149"/>
      <c r="O61" s="282"/>
      <c r="P61" s="293"/>
      <c r="Q61" s="294"/>
      <c r="R61" s="149"/>
      <c r="S61" s="282"/>
      <c r="T61" s="302"/>
      <c r="U61" s="302"/>
      <c r="V61" s="149"/>
      <c r="W61" s="469"/>
      <c r="X61" s="126"/>
    </row>
    <row r="62" spans="1:24" ht="23.25" customHeight="1">
      <c r="A62" s="132"/>
      <c r="B62" s="128" t="s">
        <v>272</v>
      </c>
      <c r="C62" s="75" t="s">
        <v>135</v>
      </c>
      <c r="D62" s="308">
        <f>SUM(D63:D72)</f>
        <v>27658</v>
      </c>
      <c r="E62" s="308">
        <f>SUM(E63:E72)</f>
        <v>24188</v>
      </c>
      <c r="F62" s="249">
        <f>E62-D62</f>
        <v>-3470</v>
      </c>
      <c r="G62" s="276">
        <f>_xlfn.IFERROR(F62/D62*100,"")</f>
        <v>-12.546098777930437</v>
      </c>
      <c r="H62" s="274">
        <f>SUM(H63:H72)</f>
        <v>13074971</v>
      </c>
      <c r="I62" s="275">
        <f>SUM(I63:I72)</f>
        <v>13132645</v>
      </c>
      <c r="J62" s="249">
        <f aca="true" t="shared" si="34" ref="J62:J72">I62-H62</f>
        <v>57674</v>
      </c>
      <c r="K62" s="276">
        <f>_xlfn.IFERROR(J62/H62*100,"")</f>
        <v>0.4411023167852533</v>
      </c>
      <c r="L62" s="274">
        <f>SUM(L63:L72)</f>
        <v>7166753</v>
      </c>
      <c r="M62" s="275">
        <f>SUM(M63:M72)</f>
        <v>3134771</v>
      </c>
      <c r="N62" s="249">
        <f aca="true" t="shared" si="35" ref="N62:N72">M62-L62</f>
        <v>-4031982</v>
      </c>
      <c r="O62" s="276">
        <f>_xlfn.IFERROR(N62/L62*100,"")</f>
        <v>-56.259536222331086</v>
      </c>
      <c r="P62" s="274">
        <f>SUM(P63:P72)</f>
        <v>1541437</v>
      </c>
      <c r="Q62" s="275">
        <f>SUM(Q63:Q72)</f>
        <v>1463934</v>
      </c>
      <c r="R62" s="249">
        <f aca="true" t="shared" si="36" ref="R62:R72">Q62-P62</f>
        <v>-77503</v>
      </c>
      <c r="S62" s="276">
        <f>_xlfn.IFERROR(R62/P62*100,"")</f>
        <v>-5.027970653357873</v>
      </c>
      <c r="T62" s="308">
        <f>SUM('表２１－２:表２１－３'!T62)</f>
        <v>783496</v>
      </c>
      <c r="U62" s="308">
        <f>SUM('表２１－２:表２１－３'!U62)</f>
        <v>569071</v>
      </c>
      <c r="V62" s="249">
        <f>U62-T62</f>
        <v>-214425</v>
      </c>
      <c r="W62" s="468">
        <f>_xlfn.IFERROR(V62/T62*100,"")</f>
        <v>-27.36772108600427</v>
      </c>
      <c r="X62" s="472"/>
    </row>
    <row r="63" spans="1:24" ht="23.25" customHeight="1">
      <c r="A63" s="132"/>
      <c r="B63" s="129"/>
      <c r="C63" s="76" t="s">
        <v>187</v>
      </c>
      <c r="D63" s="307">
        <f>SUM('表２１－２:表２１－３'!D63)</f>
        <v>23920</v>
      </c>
      <c r="E63" s="307">
        <f>SUM('表２１－２:表２１－３'!E63)</f>
        <v>15757</v>
      </c>
      <c r="F63" s="149">
        <f aca="true" t="shared" si="37" ref="F63:F72">E63-D63</f>
        <v>-8163</v>
      </c>
      <c r="G63" s="282">
        <f aca="true" t="shared" si="38" ref="G63:G72">_xlfn.IFERROR(F63/D63*100,"")</f>
        <v>-34.126254180602004</v>
      </c>
      <c r="H63" s="290">
        <f>SUM('表２１－２:表２１－３'!H63)</f>
        <v>3780086</v>
      </c>
      <c r="I63" s="291">
        <f>SUM('表２１－２:表２１－３'!I63)</f>
        <v>3776224</v>
      </c>
      <c r="J63" s="149">
        <f t="shared" si="34"/>
        <v>-3862</v>
      </c>
      <c r="K63" s="282">
        <f aca="true" t="shared" si="39" ref="K63:K72">_xlfn.IFERROR(J63/H63*100,"")</f>
        <v>-0.10216698773519968</v>
      </c>
      <c r="L63" s="290">
        <f>SUM('表２１－２:表２１－３'!L63)</f>
        <v>2427831</v>
      </c>
      <c r="M63" s="291">
        <f>SUM('表２１－２:表２１－３'!M63)</f>
        <v>1069460</v>
      </c>
      <c r="N63" s="149">
        <f t="shared" si="35"/>
        <v>-1358371</v>
      </c>
      <c r="O63" s="282">
        <f aca="true" t="shared" si="40" ref="O63:O74">_xlfn.IFERROR(N63/L63*100,"")</f>
        <v>-55.94998169147688</v>
      </c>
      <c r="P63" s="290">
        <f>SUM('表２１－２:表２１－３'!P63)</f>
        <v>408416</v>
      </c>
      <c r="Q63" s="291">
        <f>SUM('表２１－２:表２１－３'!Q63)</f>
        <v>358746</v>
      </c>
      <c r="R63" s="149">
        <f t="shared" si="36"/>
        <v>-49670</v>
      </c>
      <c r="S63" s="282">
        <f aca="true" t="shared" si="41" ref="S63:S74">_xlfn.IFERROR(R63/P63*100,"")</f>
        <v>-12.161619525190002</v>
      </c>
      <c r="T63" s="309"/>
      <c r="U63" s="309"/>
      <c r="V63" s="309"/>
      <c r="W63" s="469">
        <f aca="true" t="shared" si="42" ref="W63:W74">_xlfn.IFERROR(V63/T63*100,"")</f>
      </c>
      <c r="X63" s="126"/>
    </row>
    <row r="64" spans="1:24" ht="23.25" customHeight="1">
      <c r="A64" s="132"/>
      <c r="B64" s="129"/>
      <c r="C64" s="76" t="s">
        <v>188</v>
      </c>
      <c r="D64" s="307">
        <f>SUM('表２１－２:表２１－３'!D64)</f>
        <v>0</v>
      </c>
      <c r="E64" s="307">
        <f>SUM('表２１－２:表２１－３'!E64)</f>
        <v>0</v>
      </c>
      <c r="F64" s="149">
        <f t="shared" si="37"/>
        <v>0</v>
      </c>
      <c r="G64" s="282">
        <f t="shared" si="38"/>
      </c>
      <c r="H64" s="290">
        <f>SUM('表２１－２:表２１－３'!H64)</f>
        <v>1912905</v>
      </c>
      <c r="I64" s="291">
        <f>SUM('表２１－２:表２１－３'!I64)</f>
        <v>1843102</v>
      </c>
      <c r="J64" s="149">
        <f t="shared" si="34"/>
        <v>-69803</v>
      </c>
      <c r="K64" s="282">
        <f t="shared" si="39"/>
        <v>-3.649057323808553</v>
      </c>
      <c r="L64" s="290">
        <f>SUM('表２１－２:表２１－３'!L64)</f>
        <v>3202735</v>
      </c>
      <c r="M64" s="291">
        <f>SUM('表２１－２:表２１－３'!M64)</f>
        <v>404800</v>
      </c>
      <c r="N64" s="149">
        <f t="shared" si="35"/>
        <v>-2797935</v>
      </c>
      <c r="O64" s="282">
        <f t="shared" si="40"/>
        <v>-87.36080256405853</v>
      </c>
      <c r="P64" s="290">
        <f>SUM('表２１－２:表２１－３'!P64)</f>
        <v>256142</v>
      </c>
      <c r="Q64" s="291">
        <f>SUM('表２１－２:表２１－３'!Q64)</f>
        <v>144164</v>
      </c>
      <c r="R64" s="149">
        <f t="shared" si="36"/>
        <v>-111978</v>
      </c>
      <c r="S64" s="282">
        <f t="shared" si="41"/>
        <v>-43.71715688953783</v>
      </c>
      <c r="T64" s="309"/>
      <c r="U64" s="309"/>
      <c r="V64" s="309"/>
      <c r="W64" s="469">
        <f t="shared" si="42"/>
      </c>
      <c r="X64" s="126"/>
    </row>
    <row r="65" spans="1:24" ht="23.25" customHeight="1">
      <c r="A65" s="132"/>
      <c r="B65" s="129"/>
      <c r="C65" s="76" t="s">
        <v>189</v>
      </c>
      <c r="D65" s="307">
        <f>SUM('表２１－２:表２１－３'!D65)</f>
        <v>0</v>
      </c>
      <c r="E65" s="307">
        <f>SUM('表２１－２:表２１－３'!E65)</f>
        <v>1183</v>
      </c>
      <c r="F65" s="149">
        <f t="shared" si="37"/>
        <v>1183</v>
      </c>
      <c r="G65" s="282">
        <f t="shared" si="38"/>
      </c>
      <c r="H65" s="290">
        <f>SUM('表２１－２:表２１－３'!H65)</f>
        <v>2075190</v>
      </c>
      <c r="I65" s="291">
        <f>SUM('表２１－２:表２１－３'!I65)</f>
        <v>2324629</v>
      </c>
      <c r="J65" s="149">
        <f t="shared" si="34"/>
        <v>249439</v>
      </c>
      <c r="K65" s="282">
        <f t="shared" si="39"/>
        <v>12.020055994872758</v>
      </c>
      <c r="L65" s="290">
        <f>SUM('表２１－２:表２１－３'!L65)</f>
        <v>99349</v>
      </c>
      <c r="M65" s="291">
        <f>SUM('表２１－２:表２１－３'!M65)</f>
        <v>232162</v>
      </c>
      <c r="N65" s="149">
        <f t="shared" si="35"/>
        <v>132813</v>
      </c>
      <c r="O65" s="282">
        <f t="shared" si="40"/>
        <v>133.68327814069593</v>
      </c>
      <c r="P65" s="290">
        <f>SUM('表２１－２:表２１－３'!P65)</f>
        <v>15217</v>
      </c>
      <c r="Q65" s="291">
        <f>SUM('表２１－２:表２１－３'!Q65)</f>
        <v>13705</v>
      </c>
      <c r="R65" s="149">
        <f t="shared" si="36"/>
        <v>-1512</v>
      </c>
      <c r="S65" s="282">
        <f t="shared" si="41"/>
        <v>-9.936255503712953</v>
      </c>
      <c r="T65" s="309"/>
      <c r="U65" s="309"/>
      <c r="V65" s="309"/>
      <c r="W65" s="469">
        <f t="shared" si="42"/>
      </c>
      <c r="X65" s="126"/>
    </row>
    <row r="66" spans="1:24" ht="23.25" customHeight="1">
      <c r="A66" s="132"/>
      <c r="B66" s="129"/>
      <c r="C66" s="76" t="s">
        <v>190</v>
      </c>
      <c r="D66" s="307">
        <f>SUM('表２１－２:表２１－３'!D66)</f>
        <v>0</v>
      </c>
      <c r="E66" s="307">
        <f>SUM('表２１－２:表２１－３'!E66)</f>
        <v>0</v>
      </c>
      <c r="F66" s="149">
        <f t="shared" si="37"/>
        <v>0</v>
      </c>
      <c r="G66" s="282">
        <f t="shared" si="38"/>
      </c>
      <c r="H66" s="290">
        <f>SUM('表２１－２:表２１－３'!H66)</f>
        <v>1742073</v>
      </c>
      <c r="I66" s="291">
        <f>SUM('表２１－２:表２１－３'!I66)</f>
        <v>1719412</v>
      </c>
      <c r="J66" s="149">
        <f t="shared" si="34"/>
        <v>-22661</v>
      </c>
      <c r="K66" s="282">
        <f t="shared" si="39"/>
        <v>-1.300806567807434</v>
      </c>
      <c r="L66" s="290">
        <f>SUM('表２１－２:表２１－３'!L66)</f>
        <v>877490</v>
      </c>
      <c r="M66" s="291">
        <f>SUM('表２１－２:表２１－３'!M66)</f>
        <v>827075</v>
      </c>
      <c r="N66" s="149">
        <f t="shared" si="35"/>
        <v>-50415</v>
      </c>
      <c r="O66" s="282">
        <f t="shared" si="40"/>
        <v>-5.745364619539823</v>
      </c>
      <c r="P66" s="290">
        <f>SUM('表２１－２:表２１－３'!P66)</f>
        <v>743382</v>
      </c>
      <c r="Q66" s="291">
        <f>SUM('表２１－２:表２１－３'!Q66)</f>
        <v>838651</v>
      </c>
      <c r="R66" s="149">
        <f t="shared" si="36"/>
        <v>95269</v>
      </c>
      <c r="S66" s="282">
        <f t="shared" si="41"/>
        <v>12.81561834965065</v>
      </c>
      <c r="T66" s="309"/>
      <c r="U66" s="309"/>
      <c r="V66" s="309"/>
      <c r="W66" s="469">
        <f t="shared" si="42"/>
      </c>
      <c r="X66" s="126"/>
    </row>
    <row r="67" spans="1:24" ht="23.25" customHeight="1">
      <c r="A67" s="132"/>
      <c r="B67" s="129"/>
      <c r="C67" s="76" t="s">
        <v>191</v>
      </c>
      <c r="D67" s="307">
        <f>SUM('表２１－２:表２１－３'!D67)</f>
        <v>0</v>
      </c>
      <c r="E67" s="307">
        <f>SUM('表２１－２:表２１－３'!E67)</f>
        <v>0</v>
      </c>
      <c r="F67" s="149">
        <f t="shared" si="37"/>
        <v>0</v>
      </c>
      <c r="G67" s="282">
        <f t="shared" si="38"/>
      </c>
      <c r="H67" s="290">
        <f>SUM('表２１－２:表２１－３'!H67)</f>
        <v>302075</v>
      </c>
      <c r="I67" s="291">
        <f>SUM('表２１－２:表２１－３'!I67)</f>
        <v>279044</v>
      </c>
      <c r="J67" s="149">
        <f t="shared" si="34"/>
        <v>-23031</v>
      </c>
      <c r="K67" s="282">
        <f t="shared" si="39"/>
        <v>-7.624265496979227</v>
      </c>
      <c r="L67" s="290">
        <f>SUM('表２１－２:表２１－３'!L67)</f>
        <v>880</v>
      </c>
      <c r="M67" s="291">
        <f>SUM('表２１－２:表２１－３'!M67)</f>
        <v>3267</v>
      </c>
      <c r="N67" s="149">
        <f t="shared" si="35"/>
        <v>2387</v>
      </c>
      <c r="O67" s="282">
        <f t="shared" si="40"/>
        <v>271.25</v>
      </c>
      <c r="P67" s="290">
        <f>SUM('表２１－２:表２１－３'!P67)</f>
        <v>4682</v>
      </c>
      <c r="Q67" s="291">
        <f>SUM('表２１－２:表２１－３'!Q67)</f>
        <v>8458</v>
      </c>
      <c r="R67" s="149">
        <f t="shared" si="36"/>
        <v>3776</v>
      </c>
      <c r="S67" s="282">
        <f t="shared" si="41"/>
        <v>80.64929517300298</v>
      </c>
      <c r="T67" s="309"/>
      <c r="U67" s="309"/>
      <c r="V67" s="309"/>
      <c r="W67" s="469">
        <f t="shared" si="42"/>
      </c>
      <c r="X67" s="126"/>
    </row>
    <row r="68" spans="1:24" ht="23.25" customHeight="1">
      <c r="A68" s="132"/>
      <c r="B68" s="129"/>
      <c r="C68" s="76" t="s">
        <v>192</v>
      </c>
      <c r="D68" s="307">
        <f>SUM('表２１－２:表２１－３'!D68)</f>
        <v>0</v>
      </c>
      <c r="E68" s="307">
        <f>SUM('表２１－２:表２１－３'!E68)</f>
        <v>0</v>
      </c>
      <c r="F68" s="149">
        <f t="shared" si="37"/>
        <v>0</v>
      </c>
      <c r="G68" s="282">
        <f t="shared" si="38"/>
      </c>
      <c r="H68" s="290">
        <f>SUM('表２１－２:表２１－３'!H68)</f>
        <v>0</v>
      </c>
      <c r="I68" s="291">
        <f>SUM('表２１－２:表２１－３'!I68)</f>
        <v>0</v>
      </c>
      <c r="J68" s="149">
        <f t="shared" si="34"/>
        <v>0</v>
      </c>
      <c r="K68" s="282">
        <f t="shared" si="39"/>
      </c>
      <c r="L68" s="290">
        <f>SUM('表２１－２:表２１－３'!L68)</f>
        <v>0</v>
      </c>
      <c r="M68" s="291">
        <f>SUM('表２１－２:表２１－３'!M68)</f>
        <v>0</v>
      </c>
      <c r="N68" s="149">
        <f t="shared" si="35"/>
        <v>0</v>
      </c>
      <c r="O68" s="282">
        <f t="shared" si="40"/>
      </c>
      <c r="P68" s="290">
        <f>SUM('表２１－２:表２１－３'!P68)</f>
        <v>0</v>
      </c>
      <c r="Q68" s="291">
        <f>SUM('表２１－２:表２１－３'!Q68)</f>
        <v>0</v>
      </c>
      <c r="R68" s="149">
        <f t="shared" si="36"/>
        <v>0</v>
      </c>
      <c r="S68" s="282">
        <f t="shared" si="41"/>
      </c>
      <c r="T68" s="309"/>
      <c r="U68" s="309"/>
      <c r="V68" s="309"/>
      <c r="W68" s="469">
        <f t="shared" si="42"/>
      </c>
      <c r="X68" s="126"/>
    </row>
    <row r="69" spans="1:24" ht="23.25" customHeight="1">
      <c r="A69" s="132"/>
      <c r="B69" s="129"/>
      <c r="C69" s="76" t="s">
        <v>193</v>
      </c>
      <c r="D69" s="307">
        <f>SUM('表２１－２:表２１－３'!D69)</f>
        <v>3738</v>
      </c>
      <c r="E69" s="307">
        <f>SUM('表２１－２:表２１－３'!E69)</f>
        <v>7248</v>
      </c>
      <c r="F69" s="149">
        <f t="shared" si="37"/>
        <v>3510</v>
      </c>
      <c r="G69" s="282">
        <f t="shared" si="38"/>
        <v>93.90048154093098</v>
      </c>
      <c r="H69" s="290">
        <f>SUM('表２１－２:表２１－３'!H69)</f>
        <v>497465</v>
      </c>
      <c r="I69" s="291">
        <f>SUM('表２１－２:表２１－３'!I69)</f>
        <v>665413</v>
      </c>
      <c r="J69" s="149">
        <f t="shared" si="34"/>
        <v>167948</v>
      </c>
      <c r="K69" s="282">
        <f t="shared" si="39"/>
        <v>33.76076708914195</v>
      </c>
      <c r="L69" s="290">
        <f>SUM('表２１－２:表２１－３'!L69)</f>
        <v>80648</v>
      </c>
      <c r="M69" s="291">
        <f>SUM('表２１－２:表２１－３'!M69)</f>
        <v>297586</v>
      </c>
      <c r="N69" s="149">
        <f t="shared" si="35"/>
        <v>216938</v>
      </c>
      <c r="O69" s="282">
        <f t="shared" si="40"/>
        <v>268.99365142346994</v>
      </c>
      <c r="P69" s="290">
        <f>SUM('表２１－２:表２１－３'!P69)</f>
        <v>69907</v>
      </c>
      <c r="Q69" s="291">
        <f>SUM('表２１－２:表２１－３'!Q69)</f>
        <v>61811</v>
      </c>
      <c r="R69" s="149">
        <f t="shared" si="36"/>
        <v>-8096</v>
      </c>
      <c r="S69" s="282">
        <f t="shared" si="41"/>
        <v>-11.581100605089619</v>
      </c>
      <c r="T69" s="309"/>
      <c r="U69" s="309"/>
      <c r="V69" s="309"/>
      <c r="W69" s="469">
        <f t="shared" si="42"/>
      </c>
      <c r="X69" s="126"/>
    </row>
    <row r="70" spans="1:24" ht="23.25" customHeight="1">
      <c r="A70" s="132"/>
      <c r="B70" s="129"/>
      <c r="C70" s="76" t="s">
        <v>194</v>
      </c>
      <c r="D70" s="307">
        <f>SUM('表２１－２:表２１－３'!D70)</f>
        <v>0</v>
      </c>
      <c r="E70" s="307">
        <f>SUM('表２１－２:表２１－３'!E70)</f>
        <v>0</v>
      </c>
      <c r="F70" s="149">
        <f t="shared" si="37"/>
        <v>0</v>
      </c>
      <c r="G70" s="282">
        <f t="shared" si="38"/>
      </c>
      <c r="H70" s="290">
        <f>SUM('表２１－２:表２１－３'!H70)</f>
        <v>825047</v>
      </c>
      <c r="I70" s="291">
        <f>SUM('表２１－２:表２１－３'!I70)</f>
        <v>711926</v>
      </c>
      <c r="J70" s="149">
        <f t="shared" si="34"/>
        <v>-113121</v>
      </c>
      <c r="K70" s="282">
        <f t="shared" si="39"/>
        <v>-13.710855260366985</v>
      </c>
      <c r="L70" s="290">
        <f>SUM('表２１－２:表２１－３'!L70)</f>
        <v>128612</v>
      </c>
      <c r="M70" s="291">
        <f>SUM('表２１－２:表２１－３'!M70)</f>
        <v>140698</v>
      </c>
      <c r="N70" s="149">
        <f t="shared" si="35"/>
        <v>12086</v>
      </c>
      <c r="O70" s="282">
        <f t="shared" si="40"/>
        <v>9.397256865611297</v>
      </c>
      <c r="P70" s="290">
        <f>SUM('表２１－２:表２１－３'!P70)</f>
        <v>13467</v>
      </c>
      <c r="Q70" s="291">
        <f>SUM('表２１－２:表２１－３'!Q70)</f>
        <v>15325</v>
      </c>
      <c r="R70" s="149">
        <f t="shared" si="36"/>
        <v>1858</v>
      </c>
      <c r="S70" s="282">
        <f t="shared" si="41"/>
        <v>13.796688200787111</v>
      </c>
      <c r="T70" s="309"/>
      <c r="U70" s="309"/>
      <c r="V70" s="309"/>
      <c r="W70" s="469">
        <f t="shared" si="42"/>
      </c>
      <c r="X70" s="126"/>
    </row>
    <row r="71" spans="1:24" ht="23.25" customHeight="1">
      <c r="A71" s="132"/>
      <c r="B71" s="129"/>
      <c r="C71" s="77" t="s">
        <v>195</v>
      </c>
      <c r="D71" s="307">
        <f>SUM('表２１－２:表２１－３'!D71)</f>
        <v>0</v>
      </c>
      <c r="E71" s="307">
        <f>SUM('表２１－２:表２１－３'!E71)</f>
        <v>0</v>
      </c>
      <c r="F71" s="149">
        <f t="shared" si="37"/>
        <v>0</v>
      </c>
      <c r="G71" s="282">
        <f t="shared" si="38"/>
      </c>
      <c r="H71" s="290">
        <f>SUM('表２１－２:表２１－３'!H71)</f>
        <v>1315212</v>
      </c>
      <c r="I71" s="291">
        <f>SUM('表２１－２:表２１－３'!I71)</f>
        <v>1154272</v>
      </c>
      <c r="J71" s="149">
        <f t="shared" si="34"/>
        <v>-160940</v>
      </c>
      <c r="K71" s="282">
        <f t="shared" si="39"/>
        <v>-12.23681049138846</v>
      </c>
      <c r="L71" s="290">
        <f>SUM('表２１－２:表２１－３'!L71)</f>
        <v>15037</v>
      </c>
      <c r="M71" s="291">
        <f>SUM('表２１－２:表２１－３'!M71)</f>
        <v>63638</v>
      </c>
      <c r="N71" s="149">
        <f t="shared" si="35"/>
        <v>48601</v>
      </c>
      <c r="O71" s="282">
        <f t="shared" si="40"/>
        <v>323.2094167719625</v>
      </c>
      <c r="P71" s="290">
        <f>SUM('表２１－２:表２１－３'!P71)</f>
        <v>43</v>
      </c>
      <c r="Q71" s="291">
        <f>SUM('表２１－２:表２１－３'!Q71)</f>
        <v>43</v>
      </c>
      <c r="R71" s="149">
        <f t="shared" si="36"/>
        <v>0</v>
      </c>
      <c r="S71" s="282">
        <f t="shared" si="41"/>
        <v>0</v>
      </c>
      <c r="T71" s="309"/>
      <c r="U71" s="309"/>
      <c r="V71" s="309"/>
      <c r="W71" s="469">
        <f t="shared" si="42"/>
      </c>
      <c r="X71" s="126"/>
    </row>
    <row r="72" spans="1:24" ht="23.25" customHeight="1">
      <c r="A72" s="132"/>
      <c r="B72" s="129"/>
      <c r="C72" s="76" t="s">
        <v>196</v>
      </c>
      <c r="D72" s="307">
        <f>SUM('表２１－２:表２１－３'!D72)</f>
        <v>0</v>
      </c>
      <c r="E72" s="307">
        <f>SUM('表２１－２:表２１－３'!E72)</f>
        <v>0</v>
      </c>
      <c r="F72" s="149">
        <f t="shared" si="37"/>
        <v>0</v>
      </c>
      <c r="G72" s="282">
        <f t="shared" si="38"/>
      </c>
      <c r="H72" s="290">
        <f>SUM('表２１－２:表２１－３'!H72)</f>
        <v>624918</v>
      </c>
      <c r="I72" s="291">
        <f>SUM('表２１－２:表２１－３'!I72)</f>
        <v>658623</v>
      </c>
      <c r="J72" s="149">
        <f t="shared" si="34"/>
        <v>33705</v>
      </c>
      <c r="K72" s="282">
        <f t="shared" si="39"/>
        <v>5.39350762820082</v>
      </c>
      <c r="L72" s="290">
        <f>SUM('表２１－２:表２１－３'!L72)</f>
        <v>334171</v>
      </c>
      <c r="M72" s="291">
        <f>SUM('表２１－２:表２１－３'!M72)</f>
        <v>96085</v>
      </c>
      <c r="N72" s="149">
        <f t="shared" si="35"/>
        <v>-238086</v>
      </c>
      <c r="O72" s="282">
        <f t="shared" si="40"/>
        <v>-71.24675689991052</v>
      </c>
      <c r="P72" s="290">
        <f>SUM('表２１－２:表２１－３'!P72)</f>
        <v>30181</v>
      </c>
      <c r="Q72" s="291">
        <f>SUM('表２１－２:表２１－３'!Q72)</f>
        <v>23031</v>
      </c>
      <c r="R72" s="149">
        <f t="shared" si="36"/>
        <v>-7150</v>
      </c>
      <c r="S72" s="282">
        <f t="shared" si="41"/>
        <v>-23.690401245816904</v>
      </c>
      <c r="T72" s="309"/>
      <c r="U72" s="309"/>
      <c r="V72" s="309"/>
      <c r="W72" s="469">
        <f t="shared" si="42"/>
      </c>
      <c r="X72" s="126"/>
    </row>
    <row r="73" spans="1:24" ht="23.25" customHeight="1">
      <c r="A73" s="132"/>
      <c r="B73" s="129"/>
      <c r="C73" s="76"/>
      <c r="D73" s="283"/>
      <c r="E73" s="283"/>
      <c r="F73" s="251"/>
      <c r="G73" s="284"/>
      <c r="H73" s="279"/>
      <c r="I73" s="280"/>
      <c r="J73" s="149"/>
      <c r="K73" s="282"/>
      <c r="L73" s="293"/>
      <c r="M73" s="294"/>
      <c r="N73" s="149"/>
      <c r="O73" s="282"/>
      <c r="P73" s="293"/>
      <c r="Q73" s="294"/>
      <c r="R73" s="149"/>
      <c r="S73" s="282"/>
      <c r="T73" s="302"/>
      <c r="U73" s="302"/>
      <c r="V73" s="310"/>
      <c r="W73" s="469"/>
      <c r="X73" s="126"/>
    </row>
    <row r="74" spans="1:24" ht="23.25" customHeight="1">
      <c r="A74" s="132"/>
      <c r="B74" s="128" t="s">
        <v>273</v>
      </c>
      <c r="C74" s="75" t="s">
        <v>135</v>
      </c>
      <c r="D74" s="309"/>
      <c r="E74" s="309"/>
      <c r="F74" s="311"/>
      <c r="G74" s="312"/>
      <c r="H74" s="274">
        <f>SUM('表２１－２:表２１－３'!H74)</f>
        <v>11906954</v>
      </c>
      <c r="I74" s="275">
        <f>SUM('表２１－２:表２１－３'!I74)</f>
        <v>11767638</v>
      </c>
      <c r="J74" s="249">
        <f>I74-H74</f>
        <v>-139316</v>
      </c>
      <c r="K74" s="276">
        <f>_xlfn.IFERROR(J74/H74*100,"")</f>
        <v>-1.1700389537072202</v>
      </c>
      <c r="L74" s="274">
        <f>SUM('表２１－２:表２１－３'!L74)</f>
        <v>334408</v>
      </c>
      <c r="M74" s="275">
        <f>SUM('表２１－２:表２１－３'!M74)</f>
        <v>180572</v>
      </c>
      <c r="N74" s="249">
        <f>M74-L74</f>
        <v>-153836</v>
      </c>
      <c r="O74" s="276">
        <f t="shared" si="40"/>
        <v>-46.00248797875649</v>
      </c>
      <c r="P74" s="274">
        <f>SUM('表２１－２:表２１－３'!P74)</f>
        <v>18941</v>
      </c>
      <c r="Q74" s="275">
        <f>SUM('表２１－２:表２１－３'!Q74)</f>
        <v>19033</v>
      </c>
      <c r="R74" s="249">
        <f>Q74-P74</f>
        <v>92</v>
      </c>
      <c r="S74" s="276">
        <f t="shared" si="41"/>
        <v>0.4857188110448234</v>
      </c>
      <c r="T74" s="308">
        <f>SUM('表２１－２:表２１－３'!T74)</f>
        <v>507268</v>
      </c>
      <c r="U74" s="308">
        <f>SUM('表２１－２:表２１－３'!U74)</f>
        <v>486364</v>
      </c>
      <c r="V74" s="249">
        <f>U74-T74</f>
        <v>-20904</v>
      </c>
      <c r="W74" s="468">
        <f t="shared" si="42"/>
        <v>-4.120898617693212</v>
      </c>
      <c r="X74" s="126"/>
    </row>
    <row r="75" spans="1:24" ht="23.25" customHeight="1" thickBot="1">
      <c r="A75" s="134"/>
      <c r="B75" s="83"/>
      <c r="C75" s="78"/>
      <c r="D75" s="313"/>
      <c r="E75" s="313"/>
      <c r="F75" s="150"/>
      <c r="G75" s="297"/>
      <c r="H75" s="295"/>
      <c r="I75" s="296"/>
      <c r="J75" s="150"/>
      <c r="K75" s="297"/>
      <c r="L75" s="295"/>
      <c r="M75" s="296"/>
      <c r="N75" s="150"/>
      <c r="O75" s="297"/>
      <c r="P75" s="295"/>
      <c r="Q75" s="296"/>
      <c r="R75" s="150"/>
      <c r="S75" s="297"/>
      <c r="T75" s="313"/>
      <c r="U75" s="313"/>
      <c r="V75" s="150"/>
      <c r="W75" s="470"/>
      <c r="X75" s="126"/>
    </row>
    <row r="76" spans="1:3" ht="13.5" customHeight="1">
      <c r="A76" s="79"/>
      <c r="B76" s="79"/>
      <c r="C76" s="79"/>
    </row>
  </sheetData>
  <sheetProtection/>
  <mergeCells count="13">
    <mergeCell ref="L5:O5"/>
    <mergeCell ref="P5:S5"/>
    <mergeCell ref="T5:W5"/>
    <mergeCell ref="U42:U43"/>
    <mergeCell ref="V42:V43"/>
    <mergeCell ref="W42:W43"/>
    <mergeCell ref="X5:AA5"/>
    <mergeCell ref="T42:T43"/>
    <mergeCell ref="A41:C43"/>
    <mergeCell ref="A4:C6"/>
    <mergeCell ref="D4:G5"/>
    <mergeCell ref="H4:AA4"/>
    <mergeCell ref="H5:K5"/>
  </mergeCells>
  <printOptions/>
  <pageMargins left="0.76" right="0.21" top="0.984251968503937" bottom="0.55" header="0.51" footer="0.5118110236220472"/>
  <pageSetup horizontalDpi="300" verticalDpi="300" orientation="landscape" paperSize="8" scale="45" r:id="rId1"/>
</worksheet>
</file>

<file path=xl/worksheets/sheet22.xml><?xml version="1.0" encoding="utf-8"?>
<worksheet xmlns="http://schemas.openxmlformats.org/spreadsheetml/2006/main" xmlns:r="http://schemas.openxmlformats.org/officeDocument/2006/relationships">
  <sheetPr codeName="Sheet22"/>
  <dimension ref="A2:AB76"/>
  <sheetViews>
    <sheetView zoomScalePageLayoutView="0" workbookViewId="0" topLeftCell="A1">
      <selection activeCell="A1" sqref="A1"/>
    </sheetView>
  </sheetViews>
  <sheetFormatPr defaultColWidth="9.00390625" defaultRowHeight="13.5"/>
  <cols>
    <col min="1" max="1" width="4.00390625" style="0" customWidth="1"/>
    <col min="2" max="2" width="13.875" style="0" customWidth="1"/>
    <col min="3" max="3" width="34.875" style="0" customWidth="1"/>
    <col min="4" max="5" width="18.25390625" style="0" customWidth="1"/>
    <col min="6" max="6" width="17.50390625" style="0" customWidth="1"/>
    <col min="7" max="7" width="11.50390625" style="0" customWidth="1"/>
    <col min="8" max="10" width="15.625" style="0" customWidth="1"/>
    <col min="11" max="11" width="12.25390625" style="0" bestFit="1" customWidth="1"/>
    <col min="12" max="13" width="15.625" style="0" customWidth="1"/>
    <col min="14" max="14" width="17.50390625" style="0" customWidth="1"/>
    <col min="15" max="15" width="12.25390625" style="0" bestFit="1" customWidth="1"/>
    <col min="16" max="17" width="15.625" style="0" customWidth="1"/>
    <col min="18" max="18" width="17.25390625" style="0" customWidth="1"/>
    <col min="19" max="19" width="12.25390625" style="0" bestFit="1" customWidth="1"/>
    <col min="20" max="21" width="15.50390625" style="0" customWidth="1"/>
    <col min="22" max="22" width="17.25390625" style="0" customWidth="1"/>
    <col min="23" max="23" width="12.25390625" style="0" customWidth="1"/>
    <col min="24" max="25" width="15.625" style="0" customWidth="1"/>
    <col min="26" max="26" width="16.00390625" style="0" customWidth="1"/>
    <col min="27" max="27" width="11.75390625" style="0" customWidth="1"/>
  </cols>
  <sheetData>
    <row r="2" spans="2:26" ht="41.25">
      <c r="B2" s="63" t="s">
        <v>311</v>
      </c>
      <c r="L2" s="64"/>
      <c r="T2" s="64" t="s">
        <v>201</v>
      </c>
      <c r="Z2" s="185" t="s">
        <v>58</v>
      </c>
    </row>
    <row r="3" ht="13.5" thickBot="1"/>
    <row r="4" spans="1:27" s="65" customFormat="1" ht="24" customHeight="1">
      <c r="A4" s="1178" t="s">
        <v>165</v>
      </c>
      <c r="B4" s="1179"/>
      <c r="C4" s="1180"/>
      <c r="D4" s="66"/>
      <c r="E4" s="1201" t="s">
        <v>202</v>
      </c>
      <c r="F4" s="1201" t="s">
        <v>203</v>
      </c>
      <c r="G4" s="84"/>
      <c r="H4" s="85" t="s">
        <v>204</v>
      </c>
      <c r="I4" s="86"/>
      <c r="J4" s="86"/>
      <c r="K4" s="86"/>
      <c r="L4" s="85"/>
      <c r="M4" s="86"/>
      <c r="N4" s="86"/>
      <c r="O4" s="86"/>
      <c r="P4" s="87"/>
      <c r="Q4" s="86"/>
      <c r="R4" s="86"/>
      <c r="S4" s="86"/>
      <c r="T4" s="85"/>
      <c r="U4" s="86"/>
      <c r="V4" s="86"/>
      <c r="W4" s="86"/>
      <c r="X4" s="87"/>
      <c r="Y4" s="86"/>
      <c r="Z4" s="86"/>
      <c r="AA4" s="135"/>
    </row>
    <row r="5" spans="1:27" s="65" customFormat="1" ht="24" customHeight="1">
      <c r="A5" s="1181"/>
      <c r="B5" s="1182"/>
      <c r="C5" s="1183"/>
      <c r="D5" s="67"/>
      <c r="E5" s="1202"/>
      <c r="F5" s="1202"/>
      <c r="G5" s="88"/>
      <c r="H5" s="89" t="s">
        <v>248</v>
      </c>
      <c r="I5" s="90"/>
      <c r="J5" s="90"/>
      <c r="K5" s="90"/>
      <c r="L5" s="89" t="s">
        <v>300</v>
      </c>
      <c r="M5" s="90"/>
      <c r="N5" s="90"/>
      <c r="O5" s="90"/>
      <c r="P5" s="89" t="s">
        <v>249</v>
      </c>
      <c r="Q5" s="90"/>
      <c r="R5" s="90"/>
      <c r="S5" s="90"/>
      <c r="T5" s="89" t="s">
        <v>206</v>
      </c>
      <c r="U5" s="90"/>
      <c r="V5" s="90"/>
      <c r="W5" s="90"/>
      <c r="X5" s="89" t="s">
        <v>254</v>
      </c>
      <c r="Y5" s="90"/>
      <c r="Z5" s="90"/>
      <c r="AA5" s="136"/>
    </row>
    <row r="6" spans="1:27" s="65" customFormat="1" ht="24" customHeight="1">
      <c r="A6" s="1184"/>
      <c r="B6" s="1185"/>
      <c r="C6" s="1186"/>
      <c r="D6" s="71" t="s">
        <v>174</v>
      </c>
      <c r="E6" s="68" t="s">
        <v>170</v>
      </c>
      <c r="F6" s="68" t="s">
        <v>171</v>
      </c>
      <c r="G6" s="69" t="s">
        <v>172</v>
      </c>
      <c r="H6" s="71" t="s">
        <v>174</v>
      </c>
      <c r="I6" s="70" t="s">
        <v>170</v>
      </c>
      <c r="J6" s="68" t="s">
        <v>173</v>
      </c>
      <c r="K6" s="69" t="s">
        <v>172</v>
      </c>
      <c r="L6" s="71" t="s">
        <v>174</v>
      </c>
      <c r="M6" s="70" t="s">
        <v>170</v>
      </c>
      <c r="N6" s="68" t="s">
        <v>173</v>
      </c>
      <c r="O6" s="69" t="s">
        <v>172</v>
      </c>
      <c r="P6" s="71" t="s">
        <v>174</v>
      </c>
      <c r="Q6" s="70" t="s">
        <v>170</v>
      </c>
      <c r="R6" s="68" t="s">
        <v>173</v>
      </c>
      <c r="S6" s="69" t="s">
        <v>172</v>
      </c>
      <c r="T6" s="71" t="s">
        <v>174</v>
      </c>
      <c r="U6" s="70" t="s">
        <v>170</v>
      </c>
      <c r="V6" s="68" t="s">
        <v>173</v>
      </c>
      <c r="W6" s="69" t="s">
        <v>172</v>
      </c>
      <c r="X6" s="71" t="s">
        <v>174</v>
      </c>
      <c r="Y6" s="70" t="s">
        <v>170</v>
      </c>
      <c r="Z6" s="68" t="s">
        <v>173</v>
      </c>
      <c r="AA6" s="137" t="s">
        <v>172</v>
      </c>
    </row>
    <row r="7" spans="1:27" ht="23.25" customHeight="1">
      <c r="A7" s="126"/>
      <c r="B7" s="72"/>
      <c r="C7" s="73"/>
      <c r="D7" s="315"/>
      <c r="E7" s="316"/>
      <c r="F7" s="268"/>
      <c r="G7" s="269"/>
      <c r="H7" s="317"/>
      <c r="I7" s="318"/>
      <c r="J7" s="271"/>
      <c r="K7" s="272"/>
      <c r="L7" s="317"/>
      <c r="M7" s="318"/>
      <c r="N7" s="268"/>
      <c r="O7" s="269"/>
      <c r="P7" s="266"/>
      <c r="Q7" s="319"/>
      <c r="R7" s="271"/>
      <c r="S7" s="269"/>
      <c r="T7" s="317"/>
      <c r="U7" s="318"/>
      <c r="V7" s="271"/>
      <c r="W7" s="269"/>
      <c r="X7" s="266"/>
      <c r="Y7" s="267"/>
      <c r="Z7" s="320"/>
      <c r="AA7" s="273"/>
    </row>
    <row r="8" spans="1:27" s="74" customFormat="1" ht="23.25" customHeight="1">
      <c r="A8" s="131" t="s">
        <v>175</v>
      </c>
      <c r="B8" s="128"/>
      <c r="C8" s="75"/>
      <c r="D8" s="274">
        <f>D10+D25+D37</f>
        <v>48926074</v>
      </c>
      <c r="E8" s="275">
        <f>E10+E25+E37</f>
        <v>50942801</v>
      </c>
      <c r="F8" s="249">
        <f>E8-D8</f>
        <v>2016727</v>
      </c>
      <c r="G8" s="276">
        <f>_xlfn.IFERROR(F8/D8*100,"")</f>
        <v>4.12198820612502</v>
      </c>
      <c r="H8" s="274">
        <f>H10+H25+H37</f>
        <v>1739731</v>
      </c>
      <c r="I8" s="275">
        <f>I10+I25+I37</f>
        <v>1974420</v>
      </c>
      <c r="J8" s="249">
        <f>I8-H8</f>
        <v>234689</v>
      </c>
      <c r="K8" s="276">
        <f>_xlfn.IFERROR(J8/H8*100,"")</f>
        <v>13.48995907988074</v>
      </c>
      <c r="L8" s="274">
        <f>L10+L25+L37</f>
        <v>46838686</v>
      </c>
      <c r="M8" s="275">
        <f>M10+M25+M37</f>
        <v>48882381</v>
      </c>
      <c r="N8" s="249">
        <f>M8-L8</f>
        <v>2043695</v>
      </c>
      <c r="O8" s="276">
        <f>_xlfn.IFERROR(N8/L8*100,"")</f>
        <v>4.363262880602585</v>
      </c>
      <c r="P8" s="274">
        <f>P10+P25+P37</f>
        <v>0</v>
      </c>
      <c r="Q8" s="275">
        <f>Q10+Q25+Q37</f>
        <v>0</v>
      </c>
      <c r="R8" s="249">
        <f>Q8-P8</f>
        <v>0</v>
      </c>
      <c r="S8" s="276">
        <f>_xlfn.IFERROR(R8/P8*100,"")</f>
      </c>
      <c r="T8" s="274">
        <f>T10+T25+T37</f>
        <v>347000</v>
      </c>
      <c r="U8" s="275">
        <f>U10+U25+U37</f>
        <v>86000</v>
      </c>
      <c r="V8" s="249">
        <f>U8-T8</f>
        <v>-261000</v>
      </c>
      <c r="W8" s="276">
        <f>_xlfn.IFERROR(V8/T8*100,"")</f>
        <v>-75.21613832853026</v>
      </c>
      <c r="X8" s="274">
        <f>X10+X25+X37</f>
        <v>657</v>
      </c>
      <c r="Y8" s="275">
        <f>Y10+Y25+Y37</f>
        <v>0</v>
      </c>
      <c r="Z8" s="277">
        <f>Y8-X8</f>
        <v>-657</v>
      </c>
      <c r="AA8" s="278">
        <f>_xlfn.IFERROR(Z8/X8*100,"")</f>
        <v>-100</v>
      </c>
    </row>
    <row r="9" spans="1:27" s="74" customFormat="1" ht="23.25" customHeight="1">
      <c r="A9" s="132"/>
      <c r="B9" s="129"/>
      <c r="C9" s="76"/>
      <c r="D9" s="321"/>
      <c r="E9" s="322"/>
      <c r="F9" s="149"/>
      <c r="G9" s="281"/>
      <c r="H9" s="323"/>
      <c r="I9" s="324"/>
      <c r="J9" s="149"/>
      <c r="K9" s="282"/>
      <c r="L9" s="323"/>
      <c r="M9" s="324"/>
      <c r="N9" s="149"/>
      <c r="O9" s="284"/>
      <c r="P9" s="279"/>
      <c r="Q9" s="325"/>
      <c r="R9" s="149"/>
      <c r="S9" s="284"/>
      <c r="T9" s="323"/>
      <c r="U9" s="324"/>
      <c r="V9" s="149"/>
      <c r="W9" s="284"/>
      <c r="X9" s="279"/>
      <c r="Y9" s="280"/>
      <c r="Z9" s="326"/>
      <c r="AA9" s="475"/>
    </row>
    <row r="10" spans="1:27" s="74" customFormat="1" ht="23.25" customHeight="1">
      <c r="A10" s="132"/>
      <c r="B10" s="128" t="s">
        <v>176</v>
      </c>
      <c r="C10" s="75" t="s">
        <v>135</v>
      </c>
      <c r="D10" s="274">
        <f>H10+L10+P10+T10+X10</f>
        <v>42526750</v>
      </c>
      <c r="E10" s="275">
        <f>SUM(E11:E21)</f>
        <v>44656647</v>
      </c>
      <c r="F10" s="249">
        <f>E10-D10</f>
        <v>2129897</v>
      </c>
      <c r="G10" s="276">
        <f>_xlfn.IFERROR(F10/D10*100,"")</f>
        <v>5.008370025924859</v>
      </c>
      <c r="H10" s="274">
        <f>SUM(H11:H23)</f>
        <v>1663423</v>
      </c>
      <c r="I10" s="275">
        <f>SUM(I11:I23)</f>
        <v>1876404</v>
      </c>
      <c r="J10" s="249">
        <f>I10-H10</f>
        <v>212981</v>
      </c>
      <c r="K10" s="276">
        <f aca="true" t="shared" si="0" ref="K10:K23">_xlfn.IFERROR(J10/H10*100,"")</f>
        <v>12.803778714133445</v>
      </c>
      <c r="L10" s="274">
        <f>SUM(L11:L23)</f>
        <v>40516327</v>
      </c>
      <c r="M10" s="275">
        <f>SUM(M11:M23)</f>
        <v>42694243</v>
      </c>
      <c r="N10" s="249">
        <f aca="true" t="shared" si="1" ref="N10:N21">M10-L10</f>
        <v>2177916</v>
      </c>
      <c r="O10" s="276">
        <f aca="true" t="shared" si="2" ref="O10:O23">_xlfn.IFERROR(N10/L10*100,"")</f>
        <v>5.375403352826134</v>
      </c>
      <c r="P10" s="274">
        <f>SUM(P11:P23)</f>
        <v>0</v>
      </c>
      <c r="Q10" s="275">
        <f>SUM(Q11:Q23)</f>
        <v>0</v>
      </c>
      <c r="R10" s="249">
        <f aca="true" t="shared" si="3" ref="R10:R21">Q10-P10</f>
        <v>0</v>
      </c>
      <c r="S10" s="276">
        <f aca="true" t="shared" si="4" ref="S10:S23">_xlfn.IFERROR(R10/P10*100,"")</f>
      </c>
      <c r="T10" s="274">
        <f>SUM(T11:T23)</f>
        <v>347000</v>
      </c>
      <c r="U10" s="275">
        <f>SUM(U11:U23)</f>
        <v>86000</v>
      </c>
      <c r="V10" s="249">
        <f aca="true" t="shared" si="5" ref="V10:V21">U10-T10</f>
        <v>-261000</v>
      </c>
      <c r="W10" s="276">
        <f aca="true" t="shared" si="6" ref="W10:W23">_xlfn.IFERROR(V10/T10*100,"")</f>
        <v>-75.21613832853026</v>
      </c>
      <c r="X10" s="274">
        <f>SUM(X11:X23)</f>
        <v>0</v>
      </c>
      <c r="Y10" s="275">
        <f>SUM(Y11:Y23)</f>
        <v>0</v>
      </c>
      <c r="Z10" s="277">
        <f aca="true" t="shared" si="7" ref="Z10:Z21">Y10-X10</f>
        <v>0</v>
      </c>
      <c r="AA10" s="278">
        <f aca="true" t="shared" si="8" ref="AA10:AA23">_xlfn.IFERROR(Z10/X10*100,"")</f>
      </c>
    </row>
    <row r="11" spans="1:27" s="74" customFormat="1" ht="23.25" customHeight="1">
      <c r="A11" s="132"/>
      <c r="B11" s="129"/>
      <c r="C11" s="76" t="s">
        <v>177</v>
      </c>
      <c r="D11" s="286">
        <f aca="true" t="shared" si="9" ref="D11:E21">H11+L11+P11+T11+X11</f>
        <v>0</v>
      </c>
      <c r="E11" s="287">
        <f>I11+M11+Q11+U11+Y11</f>
        <v>0</v>
      </c>
      <c r="F11" s="149">
        <f aca="true" t="shared" si="10" ref="F11:F37">E11-D11</f>
        <v>0</v>
      </c>
      <c r="G11" s="282">
        <f aca="true" t="shared" si="11" ref="G11:G23">_xlfn.IFERROR(F11/D11*100,"")</f>
      </c>
      <c r="H11" s="327">
        <v>0</v>
      </c>
      <c r="I11" s="328">
        <v>0</v>
      </c>
      <c r="J11" s="149">
        <f aca="true" t="shared" si="12" ref="J11:J21">I11-H11</f>
        <v>0</v>
      </c>
      <c r="K11" s="282">
        <f t="shared" si="0"/>
      </c>
      <c r="L11" s="327">
        <v>0</v>
      </c>
      <c r="M11" s="328">
        <v>0</v>
      </c>
      <c r="N11" s="149">
        <f t="shared" si="1"/>
        <v>0</v>
      </c>
      <c r="O11" s="282">
        <f t="shared" si="2"/>
      </c>
      <c r="P11" s="290">
        <v>0</v>
      </c>
      <c r="Q11" s="328">
        <v>0</v>
      </c>
      <c r="R11" s="149">
        <f t="shared" si="3"/>
        <v>0</v>
      </c>
      <c r="S11" s="282">
        <f t="shared" si="4"/>
      </c>
      <c r="T11" s="328"/>
      <c r="U11" s="329"/>
      <c r="V11" s="149">
        <f t="shared" si="5"/>
        <v>0</v>
      </c>
      <c r="W11" s="282">
        <f t="shared" si="6"/>
      </c>
      <c r="X11" s="290">
        <v>0</v>
      </c>
      <c r="Y11" s="291">
        <v>0</v>
      </c>
      <c r="Z11" s="285">
        <f t="shared" si="7"/>
        <v>0</v>
      </c>
      <c r="AA11" s="250">
        <f t="shared" si="8"/>
      </c>
    </row>
    <row r="12" spans="1:27" s="74" customFormat="1" ht="23.25" customHeight="1">
      <c r="A12" s="132"/>
      <c r="B12" s="129"/>
      <c r="C12" s="76" t="s">
        <v>178</v>
      </c>
      <c r="D12" s="286">
        <f t="shared" si="9"/>
        <v>0</v>
      </c>
      <c r="E12" s="287">
        <f t="shared" si="9"/>
        <v>0</v>
      </c>
      <c r="F12" s="149">
        <f t="shared" si="10"/>
        <v>0</v>
      </c>
      <c r="G12" s="282">
        <f t="shared" si="11"/>
      </c>
      <c r="H12" s="327">
        <v>0</v>
      </c>
      <c r="I12" s="328">
        <v>0</v>
      </c>
      <c r="J12" s="149">
        <f t="shared" si="12"/>
        <v>0</v>
      </c>
      <c r="K12" s="282">
        <f t="shared" si="0"/>
      </c>
      <c r="L12" s="327">
        <v>0</v>
      </c>
      <c r="M12" s="328">
        <v>0</v>
      </c>
      <c r="N12" s="149">
        <f t="shared" si="1"/>
        <v>0</v>
      </c>
      <c r="O12" s="282">
        <f t="shared" si="2"/>
      </c>
      <c r="P12" s="290">
        <v>0</v>
      </c>
      <c r="Q12" s="328">
        <v>0</v>
      </c>
      <c r="R12" s="149">
        <f t="shared" si="3"/>
        <v>0</v>
      </c>
      <c r="S12" s="282">
        <f t="shared" si="4"/>
      </c>
      <c r="T12" s="328"/>
      <c r="U12" s="329"/>
      <c r="V12" s="149">
        <f t="shared" si="5"/>
        <v>0</v>
      </c>
      <c r="W12" s="282">
        <f t="shared" si="6"/>
      </c>
      <c r="X12" s="290">
        <v>0</v>
      </c>
      <c r="Y12" s="291">
        <v>0</v>
      </c>
      <c r="Z12" s="285">
        <f t="shared" si="7"/>
        <v>0</v>
      </c>
      <c r="AA12" s="250">
        <f t="shared" si="8"/>
      </c>
    </row>
    <row r="13" spans="1:27" s="74" customFormat="1" ht="23.25" customHeight="1">
      <c r="A13" s="132"/>
      <c r="B13" s="129"/>
      <c r="C13" s="76" t="s">
        <v>179</v>
      </c>
      <c r="D13" s="286">
        <f t="shared" si="9"/>
        <v>0</v>
      </c>
      <c r="E13" s="287">
        <f t="shared" si="9"/>
        <v>0</v>
      </c>
      <c r="F13" s="149">
        <f t="shared" si="10"/>
        <v>0</v>
      </c>
      <c r="G13" s="282">
        <f t="shared" si="11"/>
      </c>
      <c r="H13" s="327">
        <v>0</v>
      </c>
      <c r="I13" s="328">
        <v>0</v>
      </c>
      <c r="J13" s="149">
        <f t="shared" si="12"/>
        <v>0</v>
      </c>
      <c r="K13" s="282">
        <f t="shared" si="0"/>
      </c>
      <c r="L13" s="327">
        <v>0</v>
      </c>
      <c r="M13" s="328">
        <v>0</v>
      </c>
      <c r="N13" s="149">
        <f t="shared" si="1"/>
        <v>0</v>
      </c>
      <c r="O13" s="282">
        <f t="shared" si="2"/>
      </c>
      <c r="P13" s="290">
        <v>0</v>
      </c>
      <c r="Q13" s="328">
        <v>0</v>
      </c>
      <c r="R13" s="149">
        <f t="shared" si="3"/>
        <v>0</v>
      </c>
      <c r="S13" s="282">
        <f t="shared" si="4"/>
      </c>
      <c r="T13" s="328"/>
      <c r="U13" s="329"/>
      <c r="V13" s="149">
        <f t="shared" si="5"/>
        <v>0</v>
      </c>
      <c r="W13" s="282">
        <f t="shared" si="6"/>
      </c>
      <c r="X13" s="290">
        <v>0</v>
      </c>
      <c r="Y13" s="291">
        <v>0</v>
      </c>
      <c r="Z13" s="285">
        <f t="shared" si="7"/>
        <v>0</v>
      </c>
      <c r="AA13" s="250">
        <f t="shared" si="8"/>
      </c>
    </row>
    <row r="14" spans="1:27" s="74" customFormat="1" ht="23.25" customHeight="1">
      <c r="A14" s="132"/>
      <c r="B14" s="129"/>
      <c r="C14" s="76" t="s">
        <v>245</v>
      </c>
      <c r="D14" s="286">
        <f t="shared" si="9"/>
        <v>9587455</v>
      </c>
      <c r="E14" s="287">
        <f>I14+M14+Q14+U14+Y14</f>
        <v>9820800</v>
      </c>
      <c r="F14" s="149">
        <f t="shared" si="10"/>
        <v>233345</v>
      </c>
      <c r="G14" s="282">
        <f t="shared" si="11"/>
        <v>2.433857577428004</v>
      </c>
      <c r="H14" s="327">
        <v>1263614</v>
      </c>
      <c r="I14" s="328">
        <v>1258862</v>
      </c>
      <c r="J14" s="149">
        <f t="shared" si="12"/>
        <v>-4752</v>
      </c>
      <c r="K14" s="282">
        <f t="shared" si="0"/>
        <v>-0.37606420948169295</v>
      </c>
      <c r="L14" s="327">
        <v>8218841</v>
      </c>
      <c r="M14" s="328">
        <v>8561938</v>
      </c>
      <c r="N14" s="149">
        <f t="shared" si="1"/>
        <v>343097</v>
      </c>
      <c r="O14" s="282">
        <f t="shared" si="2"/>
        <v>4.174518037275572</v>
      </c>
      <c r="P14" s="290">
        <v>0</v>
      </c>
      <c r="Q14" s="328">
        <v>0</v>
      </c>
      <c r="R14" s="149">
        <f t="shared" si="3"/>
        <v>0</v>
      </c>
      <c r="S14" s="282">
        <f t="shared" si="4"/>
      </c>
      <c r="T14" s="328">
        <v>105000</v>
      </c>
      <c r="U14" s="329">
        <v>0</v>
      </c>
      <c r="V14" s="149">
        <f t="shared" si="5"/>
        <v>-105000</v>
      </c>
      <c r="W14" s="282">
        <f t="shared" si="6"/>
        <v>-100</v>
      </c>
      <c r="X14" s="290">
        <v>0</v>
      </c>
      <c r="Y14" s="291">
        <v>0</v>
      </c>
      <c r="Z14" s="285">
        <f t="shared" si="7"/>
        <v>0</v>
      </c>
      <c r="AA14" s="250">
        <f t="shared" si="8"/>
      </c>
    </row>
    <row r="15" spans="1:27" s="74" customFormat="1" ht="23.25" customHeight="1">
      <c r="A15" s="132"/>
      <c r="B15" s="129"/>
      <c r="C15" s="76" t="s">
        <v>180</v>
      </c>
      <c r="D15" s="286">
        <f t="shared" si="9"/>
        <v>29541428</v>
      </c>
      <c r="E15" s="287">
        <f>I15+M15+Q15+U15+Y15</f>
        <v>31278749</v>
      </c>
      <c r="F15" s="149">
        <f t="shared" si="10"/>
        <v>1737321</v>
      </c>
      <c r="G15" s="282">
        <f t="shared" si="11"/>
        <v>5.880964860601864</v>
      </c>
      <c r="H15" s="327">
        <v>202116</v>
      </c>
      <c r="I15" s="328">
        <v>399673</v>
      </c>
      <c r="J15" s="149">
        <f t="shared" si="12"/>
        <v>197557</v>
      </c>
      <c r="K15" s="282">
        <f t="shared" si="0"/>
        <v>97.7443646222961</v>
      </c>
      <c r="L15" s="327">
        <v>29097312</v>
      </c>
      <c r="M15" s="328">
        <v>30793076</v>
      </c>
      <c r="N15" s="149">
        <f t="shared" si="1"/>
        <v>1695764</v>
      </c>
      <c r="O15" s="282">
        <f t="shared" si="2"/>
        <v>5.827906027883263</v>
      </c>
      <c r="P15" s="290">
        <v>0</v>
      </c>
      <c r="Q15" s="328">
        <v>0</v>
      </c>
      <c r="R15" s="149">
        <f t="shared" si="3"/>
        <v>0</v>
      </c>
      <c r="S15" s="282">
        <f t="shared" si="4"/>
      </c>
      <c r="T15" s="328">
        <v>242000</v>
      </c>
      <c r="U15" s="329">
        <v>86000</v>
      </c>
      <c r="V15" s="149">
        <f t="shared" si="5"/>
        <v>-156000</v>
      </c>
      <c r="W15" s="282">
        <f t="shared" si="6"/>
        <v>-64.46280991735537</v>
      </c>
      <c r="X15" s="290">
        <v>0</v>
      </c>
      <c r="Y15" s="291">
        <v>0</v>
      </c>
      <c r="Z15" s="285">
        <f t="shared" si="7"/>
        <v>0</v>
      </c>
      <c r="AA15" s="250">
        <f t="shared" si="8"/>
      </c>
    </row>
    <row r="16" spans="1:27" s="74" customFormat="1" ht="23.25" customHeight="1">
      <c r="A16" s="132"/>
      <c r="B16" s="129"/>
      <c r="C16" s="76" t="s">
        <v>181</v>
      </c>
      <c r="D16" s="286">
        <f t="shared" si="9"/>
        <v>886827</v>
      </c>
      <c r="E16" s="287">
        <f t="shared" si="9"/>
        <v>896539</v>
      </c>
      <c r="F16" s="149">
        <f t="shared" si="10"/>
        <v>9712</v>
      </c>
      <c r="G16" s="282">
        <f t="shared" si="11"/>
        <v>1.0951403148528405</v>
      </c>
      <c r="H16" s="327">
        <v>11112</v>
      </c>
      <c r="I16" s="328">
        <v>5392</v>
      </c>
      <c r="J16" s="149">
        <f t="shared" si="12"/>
        <v>-5720</v>
      </c>
      <c r="K16" s="282">
        <f t="shared" si="0"/>
        <v>-51.47588192944564</v>
      </c>
      <c r="L16" s="327">
        <v>875715</v>
      </c>
      <c r="M16" s="328">
        <v>891147</v>
      </c>
      <c r="N16" s="149">
        <f t="shared" si="1"/>
        <v>15432</v>
      </c>
      <c r="O16" s="282">
        <f t="shared" si="2"/>
        <v>1.7622171596923655</v>
      </c>
      <c r="P16" s="290">
        <v>0</v>
      </c>
      <c r="Q16" s="328">
        <v>0</v>
      </c>
      <c r="R16" s="149">
        <f t="shared" si="3"/>
        <v>0</v>
      </c>
      <c r="S16" s="282">
        <f t="shared" si="4"/>
      </c>
      <c r="T16" s="328">
        <v>0</v>
      </c>
      <c r="U16" s="329">
        <v>0</v>
      </c>
      <c r="V16" s="149">
        <f t="shared" si="5"/>
        <v>0</v>
      </c>
      <c r="W16" s="282">
        <f t="shared" si="6"/>
      </c>
      <c r="X16" s="290">
        <v>0</v>
      </c>
      <c r="Y16" s="291">
        <v>0</v>
      </c>
      <c r="Z16" s="285">
        <f t="shared" si="7"/>
        <v>0</v>
      </c>
      <c r="AA16" s="250">
        <f t="shared" si="8"/>
      </c>
    </row>
    <row r="17" spans="1:27" s="74" customFormat="1" ht="23.25" customHeight="1">
      <c r="A17" s="132"/>
      <c r="B17" s="129"/>
      <c r="C17" s="76" t="s">
        <v>182</v>
      </c>
      <c r="D17" s="286">
        <f t="shared" si="9"/>
        <v>173464</v>
      </c>
      <c r="E17" s="287">
        <f t="shared" si="9"/>
        <v>177018</v>
      </c>
      <c r="F17" s="149">
        <f t="shared" si="10"/>
        <v>3554</v>
      </c>
      <c r="G17" s="282">
        <f t="shared" si="11"/>
        <v>2.048840105151501</v>
      </c>
      <c r="H17" s="327">
        <v>904</v>
      </c>
      <c r="I17" s="328">
        <v>2908</v>
      </c>
      <c r="J17" s="149">
        <f t="shared" si="12"/>
        <v>2004</v>
      </c>
      <c r="K17" s="282">
        <f t="shared" si="0"/>
        <v>221.68141592920355</v>
      </c>
      <c r="L17" s="327">
        <v>172560</v>
      </c>
      <c r="M17" s="328">
        <v>174110</v>
      </c>
      <c r="N17" s="149">
        <f t="shared" si="1"/>
        <v>1550</v>
      </c>
      <c r="O17" s="282">
        <f t="shared" si="2"/>
        <v>0.8982382939267501</v>
      </c>
      <c r="P17" s="290">
        <v>0</v>
      </c>
      <c r="Q17" s="328">
        <v>0</v>
      </c>
      <c r="R17" s="149">
        <f t="shared" si="3"/>
        <v>0</v>
      </c>
      <c r="S17" s="282">
        <f t="shared" si="4"/>
      </c>
      <c r="T17" s="328">
        <v>0</v>
      </c>
      <c r="U17" s="329">
        <v>0</v>
      </c>
      <c r="V17" s="149">
        <f t="shared" si="5"/>
        <v>0</v>
      </c>
      <c r="W17" s="282">
        <f t="shared" si="6"/>
      </c>
      <c r="X17" s="290">
        <v>0</v>
      </c>
      <c r="Y17" s="291">
        <v>0</v>
      </c>
      <c r="Z17" s="285">
        <f t="shared" si="7"/>
        <v>0</v>
      </c>
      <c r="AA17" s="250">
        <f t="shared" si="8"/>
      </c>
    </row>
    <row r="18" spans="1:27" s="74" customFormat="1" ht="23.25" customHeight="1">
      <c r="A18" s="132"/>
      <c r="B18" s="129"/>
      <c r="C18" s="76" t="s">
        <v>38</v>
      </c>
      <c r="D18" s="286">
        <f t="shared" si="9"/>
        <v>2130789</v>
      </c>
      <c r="E18" s="287">
        <f t="shared" si="9"/>
        <v>2236940</v>
      </c>
      <c r="F18" s="149">
        <f t="shared" si="10"/>
        <v>106151</v>
      </c>
      <c r="G18" s="282">
        <f t="shared" si="11"/>
        <v>4.981769663725503</v>
      </c>
      <c r="H18" s="327">
        <v>172597</v>
      </c>
      <c r="I18" s="328">
        <v>184275</v>
      </c>
      <c r="J18" s="149">
        <f t="shared" si="12"/>
        <v>11678</v>
      </c>
      <c r="K18" s="282">
        <f t="shared" si="0"/>
        <v>6.766050394850431</v>
      </c>
      <c r="L18" s="327">
        <v>1958192</v>
      </c>
      <c r="M18" s="328">
        <v>2052665</v>
      </c>
      <c r="N18" s="149">
        <f t="shared" si="1"/>
        <v>94473</v>
      </c>
      <c r="O18" s="282">
        <f t="shared" si="2"/>
        <v>4.824501376780214</v>
      </c>
      <c r="P18" s="290">
        <v>0</v>
      </c>
      <c r="Q18" s="328">
        <v>0</v>
      </c>
      <c r="R18" s="149">
        <f t="shared" si="3"/>
        <v>0</v>
      </c>
      <c r="S18" s="282">
        <f t="shared" si="4"/>
      </c>
      <c r="T18" s="328">
        <v>0</v>
      </c>
      <c r="U18" s="329">
        <v>0</v>
      </c>
      <c r="V18" s="149">
        <f t="shared" si="5"/>
        <v>0</v>
      </c>
      <c r="W18" s="282">
        <f t="shared" si="6"/>
      </c>
      <c r="X18" s="290">
        <v>0</v>
      </c>
      <c r="Y18" s="291">
        <v>0</v>
      </c>
      <c r="Z18" s="285">
        <f t="shared" si="7"/>
        <v>0</v>
      </c>
      <c r="AA18" s="250">
        <f t="shared" si="8"/>
      </c>
    </row>
    <row r="19" spans="1:27" s="74" customFormat="1" ht="23.25" customHeight="1">
      <c r="A19" s="132"/>
      <c r="B19" s="129"/>
      <c r="C19" s="76" t="s">
        <v>183</v>
      </c>
      <c r="D19" s="286">
        <f t="shared" si="9"/>
        <v>206787</v>
      </c>
      <c r="E19" s="287">
        <f t="shared" si="9"/>
        <v>246601</v>
      </c>
      <c r="F19" s="149">
        <f t="shared" si="10"/>
        <v>39814</v>
      </c>
      <c r="G19" s="282">
        <f t="shared" si="11"/>
        <v>19.253628129427867</v>
      </c>
      <c r="H19" s="327">
        <v>13080</v>
      </c>
      <c r="I19" s="328">
        <v>25294</v>
      </c>
      <c r="J19" s="149">
        <f t="shared" si="12"/>
        <v>12214</v>
      </c>
      <c r="K19" s="282">
        <f t="shared" si="0"/>
        <v>93.37920489296636</v>
      </c>
      <c r="L19" s="327">
        <v>193707</v>
      </c>
      <c r="M19" s="328">
        <v>221307</v>
      </c>
      <c r="N19" s="149">
        <f t="shared" si="1"/>
        <v>27600</v>
      </c>
      <c r="O19" s="282">
        <f t="shared" si="2"/>
        <v>14.248323498892656</v>
      </c>
      <c r="P19" s="290">
        <v>0</v>
      </c>
      <c r="Q19" s="328">
        <v>0</v>
      </c>
      <c r="R19" s="149">
        <f t="shared" si="3"/>
        <v>0</v>
      </c>
      <c r="S19" s="282">
        <f t="shared" si="4"/>
      </c>
      <c r="T19" s="328">
        <v>0</v>
      </c>
      <c r="U19" s="329">
        <v>0</v>
      </c>
      <c r="V19" s="149">
        <f t="shared" si="5"/>
        <v>0</v>
      </c>
      <c r="W19" s="282">
        <f t="shared" si="6"/>
      </c>
      <c r="X19" s="290">
        <v>0</v>
      </c>
      <c r="Y19" s="291">
        <v>0</v>
      </c>
      <c r="Z19" s="285">
        <f t="shared" si="7"/>
        <v>0</v>
      </c>
      <c r="AA19" s="250">
        <f t="shared" si="8"/>
      </c>
    </row>
    <row r="20" spans="1:27" s="74" customFormat="1" ht="23.25" customHeight="1">
      <c r="A20" s="132"/>
      <c r="B20" s="129"/>
      <c r="C20" s="76" t="s">
        <v>184</v>
      </c>
      <c r="D20" s="286">
        <f t="shared" si="9"/>
        <v>0</v>
      </c>
      <c r="E20" s="287">
        <f t="shared" si="9"/>
        <v>0</v>
      </c>
      <c r="F20" s="149">
        <f t="shared" si="10"/>
        <v>0</v>
      </c>
      <c r="G20" s="282">
        <f t="shared" si="11"/>
      </c>
      <c r="H20" s="327">
        <v>0</v>
      </c>
      <c r="I20" s="328">
        <v>0</v>
      </c>
      <c r="J20" s="149">
        <f t="shared" si="12"/>
        <v>0</v>
      </c>
      <c r="K20" s="282">
        <f t="shared" si="0"/>
      </c>
      <c r="L20" s="327">
        <v>0</v>
      </c>
      <c r="M20" s="328">
        <v>0</v>
      </c>
      <c r="N20" s="149">
        <f t="shared" si="1"/>
        <v>0</v>
      </c>
      <c r="O20" s="282">
        <f t="shared" si="2"/>
      </c>
      <c r="P20" s="290">
        <v>0</v>
      </c>
      <c r="Q20" s="328">
        <v>0</v>
      </c>
      <c r="R20" s="149">
        <f t="shared" si="3"/>
        <v>0</v>
      </c>
      <c r="S20" s="282">
        <f t="shared" si="4"/>
      </c>
      <c r="T20" s="328">
        <v>0</v>
      </c>
      <c r="U20" s="329">
        <v>0</v>
      </c>
      <c r="V20" s="149">
        <f t="shared" si="5"/>
        <v>0</v>
      </c>
      <c r="W20" s="282">
        <f t="shared" si="6"/>
      </c>
      <c r="X20" s="290">
        <v>0</v>
      </c>
      <c r="Y20" s="291">
        <v>0</v>
      </c>
      <c r="Z20" s="285">
        <f t="shared" si="7"/>
        <v>0</v>
      </c>
      <c r="AA20" s="250">
        <f t="shared" si="8"/>
      </c>
    </row>
    <row r="21" spans="1:27" s="74" customFormat="1" ht="23.25" customHeight="1">
      <c r="A21" s="132"/>
      <c r="B21" s="129"/>
      <c r="C21" s="76" t="s">
        <v>185</v>
      </c>
      <c r="D21" s="286">
        <f t="shared" si="9"/>
        <v>0</v>
      </c>
      <c r="E21" s="287">
        <f t="shared" si="9"/>
        <v>0</v>
      </c>
      <c r="F21" s="149">
        <f t="shared" si="10"/>
        <v>0</v>
      </c>
      <c r="G21" s="282">
        <f t="shared" si="11"/>
      </c>
      <c r="H21" s="327">
        <v>0</v>
      </c>
      <c r="I21" s="328">
        <v>0</v>
      </c>
      <c r="J21" s="149">
        <f t="shared" si="12"/>
        <v>0</v>
      </c>
      <c r="K21" s="282">
        <f t="shared" si="0"/>
      </c>
      <c r="L21" s="327">
        <v>0</v>
      </c>
      <c r="M21" s="328">
        <v>0</v>
      </c>
      <c r="N21" s="149">
        <f t="shared" si="1"/>
        <v>0</v>
      </c>
      <c r="O21" s="282">
        <f t="shared" si="2"/>
      </c>
      <c r="P21" s="290">
        <v>0</v>
      </c>
      <c r="Q21" s="328">
        <v>0</v>
      </c>
      <c r="R21" s="149">
        <f t="shared" si="3"/>
        <v>0</v>
      </c>
      <c r="S21" s="282">
        <f t="shared" si="4"/>
      </c>
      <c r="T21" s="328"/>
      <c r="U21" s="329"/>
      <c r="V21" s="149">
        <f t="shared" si="5"/>
        <v>0</v>
      </c>
      <c r="W21" s="282">
        <f t="shared" si="6"/>
      </c>
      <c r="X21" s="290">
        <v>0</v>
      </c>
      <c r="Y21" s="291">
        <v>0</v>
      </c>
      <c r="Z21" s="285">
        <f t="shared" si="7"/>
        <v>0</v>
      </c>
      <c r="AA21" s="250">
        <f t="shared" si="8"/>
      </c>
    </row>
    <row r="22" spans="1:27" s="74" customFormat="1" ht="23.25" customHeight="1">
      <c r="A22" s="132"/>
      <c r="B22" s="129"/>
      <c r="C22" s="76" t="s">
        <v>320</v>
      </c>
      <c r="D22" s="286">
        <f>H22+L22+P22+T22+X22</f>
        <v>0</v>
      </c>
      <c r="E22" s="287">
        <f>I22+M22+Q22+U22+Y22</f>
        <v>0</v>
      </c>
      <c r="F22" s="149">
        <f>E22-D22</f>
        <v>0</v>
      </c>
      <c r="G22" s="282">
        <f t="shared" si="11"/>
      </c>
      <c r="H22" s="327">
        <v>0</v>
      </c>
      <c r="I22" s="328">
        <v>0</v>
      </c>
      <c r="J22" s="149">
        <f>I22-H22</f>
        <v>0</v>
      </c>
      <c r="K22" s="282">
        <f t="shared" si="0"/>
      </c>
      <c r="L22" s="327">
        <v>0</v>
      </c>
      <c r="M22" s="328">
        <v>0</v>
      </c>
      <c r="N22" s="149">
        <f>M22-L22</f>
        <v>0</v>
      </c>
      <c r="O22" s="282">
        <f t="shared" si="2"/>
      </c>
      <c r="P22" s="290">
        <v>0</v>
      </c>
      <c r="Q22" s="328">
        <v>0</v>
      </c>
      <c r="R22" s="149">
        <f>Q22-P22</f>
        <v>0</v>
      </c>
      <c r="S22" s="282">
        <f t="shared" si="4"/>
      </c>
      <c r="T22" s="328">
        <v>0</v>
      </c>
      <c r="U22" s="329">
        <v>0</v>
      </c>
      <c r="V22" s="149">
        <f>U22-T22</f>
        <v>0</v>
      </c>
      <c r="W22" s="282">
        <f t="shared" si="6"/>
      </c>
      <c r="X22" s="290">
        <v>0</v>
      </c>
      <c r="Y22" s="291">
        <v>0</v>
      </c>
      <c r="Z22" s="285">
        <f>Y22-X22</f>
        <v>0</v>
      </c>
      <c r="AA22" s="250">
        <f t="shared" si="8"/>
      </c>
    </row>
    <row r="23" spans="1:27" s="74" customFormat="1" ht="23.25" customHeight="1">
      <c r="A23" s="132"/>
      <c r="B23" s="129"/>
      <c r="C23" s="76" t="s">
        <v>319</v>
      </c>
      <c r="D23" s="286">
        <f>H23+L23+P23+T23+X23</f>
        <v>0</v>
      </c>
      <c r="E23" s="287">
        <f>I23+M23+Q23+U23+Y23</f>
        <v>0</v>
      </c>
      <c r="F23" s="149">
        <f>E23-D23</f>
        <v>0</v>
      </c>
      <c r="G23" s="282">
        <f t="shared" si="11"/>
      </c>
      <c r="H23" s="327">
        <v>0</v>
      </c>
      <c r="I23" s="328">
        <v>0</v>
      </c>
      <c r="J23" s="149">
        <f>I23-H23</f>
        <v>0</v>
      </c>
      <c r="K23" s="282">
        <f t="shared" si="0"/>
      </c>
      <c r="L23" s="327">
        <v>0</v>
      </c>
      <c r="M23" s="328">
        <v>0</v>
      </c>
      <c r="N23" s="149">
        <f>M23-L23</f>
        <v>0</v>
      </c>
      <c r="O23" s="282">
        <f t="shared" si="2"/>
      </c>
      <c r="P23" s="290">
        <v>0</v>
      </c>
      <c r="Q23" s="328">
        <v>0</v>
      </c>
      <c r="R23" s="149">
        <f>Q23-P23</f>
        <v>0</v>
      </c>
      <c r="S23" s="282">
        <f t="shared" si="4"/>
      </c>
      <c r="T23" s="328">
        <v>0</v>
      </c>
      <c r="U23" s="329">
        <v>0</v>
      </c>
      <c r="V23" s="149">
        <f>U23-T23</f>
        <v>0</v>
      </c>
      <c r="W23" s="282">
        <f t="shared" si="6"/>
      </c>
      <c r="X23" s="290">
        <v>0</v>
      </c>
      <c r="Y23" s="291">
        <v>0</v>
      </c>
      <c r="Z23" s="285">
        <f>Y23-X23</f>
        <v>0</v>
      </c>
      <c r="AA23" s="250">
        <f t="shared" si="8"/>
      </c>
    </row>
    <row r="24" spans="1:27" s="74" customFormat="1" ht="23.25" customHeight="1">
      <c r="A24" s="132"/>
      <c r="B24" s="129"/>
      <c r="C24" s="76"/>
      <c r="D24" s="293"/>
      <c r="E24" s="294"/>
      <c r="F24" s="149"/>
      <c r="G24" s="281" t="s">
        <v>186</v>
      </c>
      <c r="H24" s="323"/>
      <c r="I24" s="324"/>
      <c r="J24" s="149"/>
      <c r="K24" s="282"/>
      <c r="L24" s="323"/>
      <c r="M24" s="324"/>
      <c r="N24" s="149"/>
      <c r="O24" s="282"/>
      <c r="P24" s="279"/>
      <c r="Q24" s="325"/>
      <c r="R24" s="149"/>
      <c r="S24" s="282"/>
      <c r="T24" s="323"/>
      <c r="U24" s="324"/>
      <c r="V24" s="149"/>
      <c r="W24" s="282"/>
      <c r="X24" s="279"/>
      <c r="Y24" s="280"/>
      <c r="Z24" s="326"/>
      <c r="AA24" s="250"/>
    </row>
    <row r="25" spans="1:27" s="74" customFormat="1" ht="23.25" customHeight="1">
      <c r="A25" s="132"/>
      <c r="B25" s="128" t="s">
        <v>272</v>
      </c>
      <c r="C25" s="75" t="s">
        <v>135</v>
      </c>
      <c r="D25" s="274">
        <f>SUM(D26:D35)</f>
        <v>1654343</v>
      </c>
      <c r="E25" s="275">
        <f>SUM(E26:E35)</f>
        <v>2030354</v>
      </c>
      <c r="F25" s="249">
        <f t="shared" si="10"/>
        <v>376011</v>
      </c>
      <c r="G25" s="276">
        <f>_xlfn.IFERROR(F25/D25*100,"")</f>
        <v>22.728720706649106</v>
      </c>
      <c r="H25" s="275">
        <f>SUM(H26:H35)</f>
        <v>30590</v>
      </c>
      <c r="I25" s="275">
        <f>SUM(I26:I35)</f>
        <v>33646</v>
      </c>
      <c r="J25" s="249">
        <f aca="true" t="shared" si="13" ref="J25:J35">I25-H25</f>
        <v>3056</v>
      </c>
      <c r="K25" s="276">
        <f>_xlfn.IFERROR(J25/H25*100,"")</f>
        <v>9.990192873488068</v>
      </c>
      <c r="L25" s="274">
        <f>SUM(L26:L35)</f>
        <v>1623753</v>
      </c>
      <c r="M25" s="275">
        <f>SUM(M26:M35)</f>
        <v>1996708</v>
      </c>
      <c r="N25" s="249">
        <f aca="true" t="shared" si="14" ref="N25:N34">M25-L25</f>
        <v>372955</v>
      </c>
      <c r="O25" s="276">
        <f>_xlfn.IFERROR(N25/L25*100,"")</f>
        <v>22.968702752204308</v>
      </c>
      <c r="P25" s="274">
        <f>SUM(P26:P35)</f>
        <v>0</v>
      </c>
      <c r="Q25" s="275">
        <f>SUM(Q26:Q35)</f>
        <v>0</v>
      </c>
      <c r="R25" s="249">
        <f aca="true" t="shared" si="15" ref="R25:R35">Q25-P25</f>
        <v>0</v>
      </c>
      <c r="S25" s="276">
        <f>_xlfn.IFERROR(R25/P25*100,"")</f>
      </c>
      <c r="T25" s="274">
        <f>SUM(T26:T35)</f>
        <v>0</v>
      </c>
      <c r="U25" s="275">
        <f>SUM(U26:U35)</f>
        <v>0</v>
      </c>
      <c r="V25" s="249">
        <f aca="true" t="shared" si="16" ref="V25:V35">U25-T25</f>
        <v>0</v>
      </c>
      <c r="W25" s="276">
        <f>_xlfn.IFERROR(V25/T25*100,"")</f>
      </c>
      <c r="X25" s="274">
        <f>SUM(X26:X35)</f>
        <v>0</v>
      </c>
      <c r="Y25" s="275">
        <f>SUM(Y26:Y35)</f>
        <v>0</v>
      </c>
      <c r="Z25" s="277">
        <f>Y25-X25</f>
        <v>0</v>
      </c>
      <c r="AA25" s="278">
        <f>_xlfn.IFERROR(Z25/X25*100,"")</f>
      </c>
    </row>
    <row r="26" spans="1:27" s="74" customFormat="1" ht="23.25" customHeight="1">
      <c r="A26" s="132"/>
      <c r="B26" s="129"/>
      <c r="C26" s="76" t="s">
        <v>187</v>
      </c>
      <c r="D26" s="286">
        <f aca="true" t="shared" si="17" ref="D26:D35">H26+L26+P26+T26+X26+D63</f>
        <v>0</v>
      </c>
      <c r="E26" s="287">
        <f aca="true" t="shared" si="18" ref="E26:E35">I26+M26+Q26+U26+Y26+E63</f>
        <v>0</v>
      </c>
      <c r="F26" s="149">
        <f t="shared" si="10"/>
        <v>0</v>
      </c>
      <c r="G26" s="281">
        <f aca="true" t="shared" si="19" ref="G26:G37">_xlfn.IFERROR(F26/D26*100,"")</f>
      </c>
      <c r="H26" s="327">
        <v>0</v>
      </c>
      <c r="I26" s="328">
        <v>0</v>
      </c>
      <c r="J26" s="149">
        <f t="shared" si="13"/>
        <v>0</v>
      </c>
      <c r="K26" s="282">
        <f aca="true" t="shared" si="20" ref="K26:K37">_xlfn.IFERROR(J26/H26*100,"")</f>
      </c>
      <c r="L26" s="327">
        <v>0</v>
      </c>
      <c r="M26" s="328">
        <v>0</v>
      </c>
      <c r="N26" s="149">
        <f t="shared" si="14"/>
        <v>0</v>
      </c>
      <c r="O26" s="282">
        <f aca="true" t="shared" si="21" ref="O26:O37">_xlfn.IFERROR(N26/L26*100,"")</f>
      </c>
      <c r="P26" s="290">
        <v>0</v>
      </c>
      <c r="Q26" s="328">
        <v>0</v>
      </c>
      <c r="R26" s="149">
        <f t="shared" si="15"/>
        <v>0</v>
      </c>
      <c r="S26" s="282">
        <f aca="true" t="shared" si="22" ref="S26:S37">_xlfn.IFERROR(R26/P26*100,"")</f>
      </c>
      <c r="T26" s="327">
        <v>0</v>
      </c>
      <c r="U26" s="328">
        <v>0</v>
      </c>
      <c r="V26" s="149">
        <f t="shared" si="16"/>
        <v>0</v>
      </c>
      <c r="W26" s="282">
        <f aca="true" t="shared" si="23" ref="W26:W37">_xlfn.IFERROR(V26/T26*100,"")</f>
      </c>
      <c r="X26" s="290">
        <v>0</v>
      </c>
      <c r="Y26" s="291">
        <v>0</v>
      </c>
      <c r="Z26" s="285">
        <f aca="true" t="shared" si="24" ref="Z26:Z35">Y26-X26</f>
        <v>0</v>
      </c>
      <c r="AA26" s="250">
        <f aca="true" t="shared" si="25" ref="AA26:AA37">_xlfn.IFERROR(Z26/X26*100,"")</f>
      </c>
    </row>
    <row r="27" spans="1:27" s="74" customFormat="1" ht="23.25" customHeight="1">
      <c r="A27" s="132"/>
      <c r="B27" s="129"/>
      <c r="C27" s="76" t="s">
        <v>188</v>
      </c>
      <c r="D27" s="286">
        <f t="shared" si="17"/>
        <v>191794</v>
      </c>
      <c r="E27" s="287">
        <f t="shared" si="18"/>
        <v>187367</v>
      </c>
      <c r="F27" s="149">
        <f t="shared" si="10"/>
        <v>-4427</v>
      </c>
      <c r="G27" s="281">
        <f t="shared" si="19"/>
        <v>-2.308205679009771</v>
      </c>
      <c r="H27" s="327">
        <v>0</v>
      </c>
      <c r="I27" s="328">
        <v>0</v>
      </c>
      <c r="J27" s="149">
        <f t="shared" si="13"/>
        <v>0</v>
      </c>
      <c r="K27" s="282">
        <f t="shared" si="20"/>
      </c>
      <c r="L27" s="327">
        <v>191794</v>
      </c>
      <c r="M27" s="328">
        <v>187367</v>
      </c>
      <c r="N27" s="149">
        <f t="shared" si="14"/>
        <v>-4427</v>
      </c>
      <c r="O27" s="282">
        <f>_xlfn.IFERROR(N27/L27*100,"")</f>
        <v>-2.308205679009771</v>
      </c>
      <c r="P27" s="290">
        <v>0</v>
      </c>
      <c r="Q27" s="328">
        <v>0</v>
      </c>
      <c r="R27" s="149">
        <f t="shared" si="15"/>
        <v>0</v>
      </c>
      <c r="S27" s="282">
        <f>_xlfn.IFERROR(R27/P27*100,"")</f>
      </c>
      <c r="T27" s="327">
        <v>0</v>
      </c>
      <c r="U27" s="328">
        <v>0</v>
      </c>
      <c r="V27" s="149">
        <f t="shared" si="16"/>
        <v>0</v>
      </c>
      <c r="W27" s="282">
        <f>_xlfn.IFERROR(V27/T27*100,"")</f>
      </c>
      <c r="X27" s="290">
        <v>0</v>
      </c>
      <c r="Y27" s="291">
        <v>0</v>
      </c>
      <c r="Z27" s="285">
        <f t="shared" si="24"/>
        <v>0</v>
      </c>
      <c r="AA27" s="250">
        <f>_xlfn.IFERROR(Z27/X27*100,"")</f>
      </c>
    </row>
    <row r="28" spans="1:27" s="74" customFormat="1" ht="23.25" customHeight="1">
      <c r="A28" s="132"/>
      <c r="B28" s="129"/>
      <c r="C28" s="76" t="s">
        <v>189</v>
      </c>
      <c r="D28" s="286">
        <f t="shared" si="17"/>
        <v>1107369</v>
      </c>
      <c r="E28" s="287">
        <f t="shared" si="18"/>
        <v>1512357</v>
      </c>
      <c r="F28" s="149">
        <f t="shared" si="10"/>
        <v>404988</v>
      </c>
      <c r="G28" s="281">
        <f t="shared" si="19"/>
        <v>36.57209114576984</v>
      </c>
      <c r="H28" s="327">
        <v>0</v>
      </c>
      <c r="I28" s="328">
        <v>2299</v>
      </c>
      <c r="J28" s="149">
        <f t="shared" si="13"/>
        <v>2299</v>
      </c>
      <c r="K28" s="282">
        <f t="shared" si="20"/>
      </c>
      <c r="L28" s="327">
        <v>1107369</v>
      </c>
      <c r="M28" s="328">
        <v>1510058</v>
      </c>
      <c r="N28" s="149">
        <f t="shared" si="14"/>
        <v>402689</v>
      </c>
      <c r="O28" s="282">
        <f t="shared" si="21"/>
        <v>36.36448193872142</v>
      </c>
      <c r="P28" s="290">
        <v>0</v>
      </c>
      <c r="Q28" s="328">
        <v>0</v>
      </c>
      <c r="R28" s="149">
        <f t="shared" si="15"/>
        <v>0</v>
      </c>
      <c r="S28" s="282">
        <f t="shared" si="22"/>
      </c>
      <c r="T28" s="327">
        <v>0</v>
      </c>
      <c r="U28" s="328">
        <v>0</v>
      </c>
      <c r="V28" s="149">
        <f t="shared" si="16"/>
        <v>0</v>
      </c>
      <c r="W28" s="282">
        <f t="shared" si="23"/>
      </c>
      <c r="X28" s="290">
        <v>0</v>
      </c>
      <c r="Y28" s="291">
        <v>0</v>
      </c>
      <c r="Z28" s="285">
        <f t="shared" si="24"/>
        <v>0</v>
      </c>
      <c r="AA28" s="250">
        <f t="shared" si="25"/>
      </c>
    </row>
    <row r="29" spans="1:27" s="74" customFormat="1" ht="23.25" customHeight="1">
      <c r="A29" s="132"/>
      <c r="B29" s="129"/>
      <c r="C29" s="76" t="s">
        <v>190</v>
      </c>
      <c r="D29" s="286">
        <f t="shared" si="17"/>
        <v>0</v>
      </c>
      <c r="E29" s="287">
        <f t="shared" si="18"/>
        <v>0</v>
      </c>
      <c r="F29" s="149">
        <f t="shared" si="10"/>
        <v>0</v>
      </c>
      <c r="G29" s="281">
        <f t="shared" si="19"/>
      </c>
      <c r="H29" s="327">
        <v>0</v>
      </c>
      <c r="I29" s="328">
        <v>0</v>
      </c>
      <c r="J29" s="149">
        <f t="shared" si="13"/>
        <v>0</v>
      </c>
      <c r="K29" s="282">
        <f t="shared" si="20"/>
      </c>
      <c r="L29" s="327">
        <v>0</v>
      </c>
      <c r="M29" s="328">
        <v>0</v>
      </c>
      <c r="N29" s="149">
        <f t="shared" si="14"/>
        <v>0</v>
      </c>
      <c r="O29" s="282">
        <f t="shared" si="21"/>
      </c>
      <c r="P29" s="290">
        <v>0</v>
      </c>
      <c r="Q29" s="328">
        <v>0</v>
      </c>
      <c r="R29" s="149">
        <f t="shared" si="15"/>
        <v>0</v>
      </c>
      <c r="S29" s="282">
        <f t="shared" si="22"/>
      </c>
      <c r="T29" s="327">
        <v>0</v>
      </c>
      <c r="U29" s="328">
        <v>0</v>
      </c>
      <c r="V29" s="149">
        <f t="shared" si="16"/>
        <v>0</v>
      </c>
      <c r="W29" s="282">
        <f t="shared" si="23"/>
      </c>
      <c r="X29" s="290">
        <v>0</v>
      </c>
      <c r="Y29" s="291">
        <v>0</v>
      </c>
      <c r="Z29" s="285">
        <f t="shared" si="24"/>
        <v>0</v>
      </c>
      <c r="AA29" s="250">
        <f t="shared" si="25"/>
      </c>
    </row>
    <row r="30" spans="1:27" s="74" customFormat="1" ht="23.25" customHeight="1">
      <c r="A30" s="132"/>
      <c r="B30" s="129"/>
      <c r="C30" s="76" t="s">
        <v>191</v>
      </c>
      <c r="D30" s="286">
        <f t="shared" si="17"/>
        <v>45034</v>
      </c>
      <c r="E30" s="287">
        <f t="shared" si="18"/>
        <v>37791</v>
      </c>
      <c r="F30" s="149">
        <f t="shared" si="10"/>
        <v>-7243</v>
      </c>
      <c r="G30" s="281">
        <f>_xlfn.IFERROR(F30/D30*100,"")</f>
        <v>-16.08340365057512</v>
      </c>
      <c r="H30" s="327">
        <v>3786</v>
      </c>
      <c r="I30" s="328"/>
      <c r="J30" s="149">
        <f t="shared" si="13"/>
        <v>-3786</v>
      </c>
      <c r="K30" s="282">
        <f t="shared" si="20"/>
        <v>-100</v>
      </c>
      <c r="L30" s="327">
        <v>41248</v>
      </c>
      <c r="M30" s="328">
        <v>37791</v>
      </c>
      <c r="N30" s="149">
        <f t="shared" si="14"/>
        <v>-3457</v>
      </c>
      <c r="O30" s="282">
        <f t="shared" si="21"/>
        <v>-8.38101241272304</v>
      </c>
      <c r="P30" s="290">
        <v>0</v>
      </c>
      <c r="Q30" s="328">
        <v>0</v>
      </c>
      <c r="R30" s="149">
        <f t="shared" si="15"/>
        <v>0</v>
      </c>
      <c r="S30" s="282">
        <f t="shared" si="22"/>
      </c>
      <c r="T30" s="327">
        <v>0</v>
      </c>
      <c r="U30" s="328">
        <v>0</v>
      </c>
      <c r="V30" s="149">
        <f t="shared" si="16"/>
        <v>0</v>
      </c>
      <c r="W30" s="282">
        <f t="shared" si="23"/>
      </c>
      <c r="X30" s="290">
        <v>0</v>
      </c>
      <c r="Y30" s="291">
        <v>0</v>
      </c>
      <c r="Z30" s="285">
        <f t="shared" si="24"/>
        <v>0</v>
      </c>
      <c r="AA30" s="250">
        <f t="shared" si="25"/>
      </c>
    </row>
    <row r="31" spans="1:27" s="74" customFormat="1" ht="23.25" customHeight="1">
      <c r="A31" s="132"/>
      <c r="B31" s="129"/>
      <c r="C31" s="76" t="s">
        <v>192</v>
      </c>
      <c r="D31" s="286">
        <f t="shared" si="17"/>
        <v>0</v>
      </c>
      <c r="E31" s="287">
        <f t="shared" si="18"/>
        <v>0</v>
      </c>
      <c r="F31" s="149">
        <f t="shared" si="10"/>
        <v>0</v>
      </c>
      <c r="G31" s="281">
        <f t="shared" si="19"/>
      </c>
      <c r="H31" s="327">
        <v>0</v>
      </c>
      <c r="I31" s="328">
        <v>0</v>
      </c>
      <c r="J31" s="149">
        <f t="shared" si="13"/>
        <v>0</v>
      </c>
      <c r="K31" s="282">
        <f t="shared" si="20"/>
      </c>
      <c r="L31" s="327">
        <v>0</v>
      </c>
      <c r="M31" s="328">
        <v>0</v>
      </c>
      <c r="N31" s="149">
        <f t="shared" si="14"/>
        <v>0</v>
      </c>
      <c r="O31" s="282">
        <f t="shared" si="21"/>
      </c>
      <c r="P31" s="290">
        <v>0</v>
      </c>
      <c r="Q31" s="328">
        <v>0</v>
      </c>
      <c r="R31" s="149">
        <f t="shared" si="15"/>
        <v>0</v>
      </c>
      <c r="S31" s="282">
        <f t="shared" si="22"/>
      </c>
      <c r="T31" s="327">
        <v>0</v>
      </c>
      <c r="U31" s="328">
        <v>0</v>
      </c>
      <c r="V31" s="149">
        <f t="shared" si="16"/>
        <v>0</v>
      </c>
      <c r="W31" s="282">
        <f t="shared" si="23"/>
      </c>
      <c r="X31" s="290">
        <v>0</v>
      </c>
      <c r="Y31" s="291">
        <v>0</v>
      </c>
      <c r="Z31" s="285">
        <f t="shared" si="24"/>
        <v>0</v>
      </c>
      <c r="AA31" s="250">
        <f t="shared" si="25"/>
      </c>
    </row>
    <row r="32" spans="1:27" s="74" customFormat="1" ht="23.25" customHeight="1">
      <c r="A32" s="132"/>
      <c r="B32" s="129"/>
      <c r="C32" s="76" t="s">
        <v>193</v>
      </c>
      <c r="D32" s="286">
        <f t="shared" si="17"/>
        <v>0</v>
      </c>
      <c r="E32" s="287">
        <f t="shared" si="18"/>
        <v>0</v>
      </c>
      <c r="F32" s="149">
        <f t="shared" si="10"/>
        <v>0</v>
      </c>
      <c r="G32" s="281">
        <f t="shared" si="19"/>
      </c>
      <c r="H32" s="327">
        <v>0</v>
      </c>
      <c r="I32" s="328">
        <v>0</v>
      </c>
      <c r="J32" s="149">
        <f t="shared" si="13"/>
        <v>0</v>
      </c>
      <c r="K32" s="282">
        <f t="shared" si="20"/>
      </c>
      <c r="L32" s="327">
        <v>0</v>
      </c>
      <c r="M32" s="328">
        <v>0</v>
      </c>
      <c r="N32" s="149">
        <f t="shared" si="14"/>
        <v>0</v>
      </c>
      <c r="O32" s="282">
        <f t="shared" si="21"/>
      </c>
      <c r="P32" s="290">
        <v>0</v>
      </c>
      <c r="Q32" s="328">
        <v>0</v>
      </c>
      <c r="R32" s="149">
        <f t="shared" si="15"/>
        <v>0</v>
      </c>
      <c r="S32" s="282">
        <f t="shared" si="22"/>
      </c>
      <c r="T32" s="327">
        <v>0</v>
      </c>
      <c r="U32" s="328">
        <v>0</v>
      </c>
      <c r="V32" s="149">
        <f t="shared" si="16"/>
        <v>0</v>
      </c>
      <c r="W32" s="282">
        <f t="shared" si="23"/>
      </c>
      <c r="X32" s="290">
        <v>0</v>
      </c>
      <c r="Y32" s="291">
        <v>0</v>
      </c>
      <c r="Z32" s="285">
        <f t="shared" si="24"/>
        <v>0</v>
      </c>
      <c r="AA32" s="250">
        <f t="shared" si="25"/>
      </c>
    </row>
    <row r="33" spans="1:27" s="74" customFormat="1" ht="23.25" customHeight="1">
      <c r="A33" s="132"/>
      <c r="B33" s="129"/>
      <c r="C33" s="76" t="s">
        <v>194</v>
      </c>
      <c r="D33" s="286">
        <f t="shared" si="17"/>
        <v>182740</v>
      </c>
      <c r="E33" s="287">
        <f t="shared" si="18"/>
        <v>156879</v>
      </c>
      <c r="F33" s="149">
        <f t="shared" si="10"/>
        <v>-25861</v>
      </c>
      <c r="G33" s="281">
        <f t="shared" si="19"/>
        <v>-14.151800372113385</v>
      </c>
      <c r="H33" s="327">
        <v>0</v>
      </c>
      <c r="I33" s="328">
        <v>0</v>
      </c>
      <c r="J33" s="149">
        <f t="shared" si="13"/>
        <v>0</v>
      </c>
      <c r="K33" s="282">
        <f t="shared" si="20"/>
      </c>
      <c r="L33" s="327">
        <v>182740</v>
      </c>
      <c r="M33" s="328">
        <v>156879</v>
      </c>
      <c r="N33" s="149">
        <f t="shared" si="14"/>
        <v>-25861</v>
      </c>
      <c r="O33" s="282">
        <f t="shared" si="21"/>
        <v>-14.151800372113385</v>
      </c>
      <c r="P33" s="290">
        <v>0</v>
      </c>
      <c r="Q33" s="328">
        <v>0</v>
      </c>
      <c r="R33" s="149">
        <f t="shared" si="15"/>
        <v>0</v>
      </c>
      <c r="S33" s="282">
        <f t="shared" si="22"/>
      </c>
      <c r="T33" s="327">
        <v>0</v>
      </c>
      <c r="U33" s="328">
        <v>0</v>
      </c>
      <c r="V33" s="149">
        <f t="shared" si="16"/>
        <v>0</v>
      </c>
      <c r="W33" s="282">
        <f t="shared" si="23"/>
      </c>
      <c r="X33" s="290">
        <v>0</v>
      </c>
      <c r="Y33" s="291">
        <v>0</v>
      </c>
      <c r="Z33" s="285">
        <f t="shared" si="24"/>
        <v>0</v>
      </c>
      <c r="AA33" s="250">
        <f t="shared" si="25"/>
      </c>
    </row>
    <row r="34" spans="1:27" s="74" customFormat="1" ht="23.25" customHeight="1">
      <c r="A34" s="132"/>
      <c r="B34" s="129"/>
      <c r="C34" s="77" t="s">
        <v>195</v>
      </c>
      <c r="D34" s="286">
        <f t="shared" si="17"/>
        <v>56320</v>
      </c>
      <c r="E34" s="287">
        <f t="shared" si="18"/>
        <v>61614</v>
      </c>
      <c r="F34" s="149">
        <f t="shared" si="10"/>
        <v>5294</v>
      </c>
      <c r="G34" s="281">
        <f t="shared" si="19"/>
        <v>9.399857954545453</v>
      </c>
      <c r="H34" s="327">
        <v>2907</v>
      </c>
      <c r="I34" s="328">
        <v>2012</v>
      </c>
      <c r="J34" s="149">
        <f t="shared" si="13"/>
        <v>-895</v>
      </c>
      <c r="K34" s="282">
        <f t="shared" si="20"/>
        <v>-30.787753697970416</v>
      </c>
      <c r="L34" s="327">
        <v>53413</v>
      </c>
      <c r="M34" s="328">
        <v>59602</v>
      </c>
      <c r="N34" s="149">
        <f t="shared" si="14"/>
        <v>6189</v>
      </c>
      <c r="O34" s="282">
        <f t="shared" si="21"/>
        <v>11.58706681893921</v>
      </c>
      <c r="P34" s="290">
        <v>0</v>
      </c>
      <c r="Q34" s="328">
        <v>0</v>
      </c>
      <c r="R34" s="149">
        <f t="shared" si="15"/>
        <v>0</v>
      </c>
      <c r="S34" s="282">
        <f t="shared" si="22"/>
      </c>
      <c r="T34" s="327">
        <v>0</v>
      </c>
      <c r="U34" s="328">
        <v>0</v>
      </c>
      <c r="V34" s="149">
        <f t="shared" si="16"/>
        <v>0</v>
      </c>
      <c r="W34" s="282">
        <f t="shared" si="23"/>
      </c>
      <c r="X34" s="290">
        <v>0</v>
      </c>
      <c r="Y34" s="291">
        <v>0</v>
      </c>
      <c r="Z34" s="285">
        <f t="shared" si="24"/>
        <v>0</v>
      </c>
      <c r="AA34" s="250">
        <f t="shared" si="25"/>
      </c>
    </row>
    <row r="35" spans="1:27" s="74" customFormat="1" ht="23.25" customHeight="1">
      <c r="A35" s="132"/>
      <c r="B35" s="129"/>
      <c r="C35" s="76" t="s">
        <v>196</v>
      </c>
      <c r="D35" s="286">
        <f t="shared" si="17"/>
        <v>71086</v>
      </c>
      <c r="E35" s="287">
        <f t="shared" si="18"/>
        <v>74346</v>
      </c>
      <c r="F35" s="149">
        <f t="shared" si="10"/>
        <v>3260</v>
      </c>
      <c r="G35" s="281">
        <f t="shared" si="19"/>
        <v>4.585994429282841</v>
      </c>
      <c r="H35" s="327">
        <v>23897</v>
      </c>
      <c r="I35" s="328">
        <v>29335</v>
      </c>
      <c r="J35" s="149">
        <f t="shared" si="13"/>
        <v>5438</v>
      </c>
      <c r="K35" s="282">
        <f t="shared" si="20"/>
        <v>22.755994476294095</v>
      </c>
      <c r="L35" s="327">
        <v>47189</v>
      </c>
      <c r="M35" s="328">
        <v>45011</v>
      </c>
      <c r="N35" s="149">
        <f>M35-L35</f>
        <v>-2178</v>
      </c>
      <c r="O35" s="282">
        <f t="shared" si="21"/>
        <v>-4.615482421750832</v>
      </c>
      <c r="P35" s="290">
        <v>0</v>
      </c>
      <c r="Q35" s="328">
        <v>0</v>
      </c>
      <c r="R35" s="149">
        <f t="shared" si="15"/>
        <v>0</v>
      </c>
      <c r="S35" s="282">
        <f t="shared" si="22"/>
      </c>
      <c r="T35" s="327">
        <v>0</v>
      </c>
      <c r="U35" s="328">
        <v>0</v>
      </c>
      <c r="V35" s="149">
        <f t="shared" si="16"/>
        <v>0</v>
      </c>
      <c r="W35" s="282">
        <f t="shared" si="23"/>
      </c>
      <c r="X35" s="290"/>
      <c r="Y35" s="291"/>
      <c r="Z35" s="285">
        <f t="shared" si="24"/>
        <v>0</v>
      </c>
      <c r="AA35" s="250">
        <f t="shared" si="25"/>
      </c>
    </row>
    <row r="36" spans="1:27" s="74" customFormat="1" ht="23.25" customHeight="1">
      <c r="A36" s="132"/>
      <c r="B36" s="129"/>
      <c r="C36" s="76"/>
      <c r="D36" s="293"/>
      <c r="E36" s="294"/>
      <c r="F36" s="149"/>
      <c r="G36" s="281"/>
      <c r="H36" s="323"/>
      <c r="I36" s="324"/>
      <c r="J36" s="149"/>
      <c r="K36" s="281"/>
      <c r="L36" s="323"/>
      <c r="M36" s="324"/>
      <c r="N36" s="149"/>
      <c r="O36" s="282"/>
      <c r="P36" s="279"/>
      <c r="Q36" s="325"/>
      <c r="R36" s="149"/>
      <c r="S36" s="282"/>
      <c r="T36" s="323"/>
      <c r="U36" s="324"/>
      <c r="V36" s="149"/>
      <c r="W36" s="282"/>
      <c r="X36" s="279"/>
      <c r="Y36" s="280"/>
      <c r="Z36" s="326"/>
      <c r="AA36" s="250"/>
    </row>
    <row r="37" spans="1:27" s="74" customFormat="1" ht="23.25" customHeight="1">
      <c r="A37" s="132"/>
      <c r="B37" s="128" t="s">
        <v>273</v>
      </c>
      <c r="C37" s="75" t="s">
        <v>135</v>
      </c>
      <c r="D37" s="274">
        <f>H37+L37+P37+T37+X37</f>
        <v>4744981</v>
      </c>
      <c r="E37" s="275">
        <f>I37+M37+Q37+U37+Y37</f>
        <v>4255800</v>
      </c>
      <c r="F37" s="249">
        <f t="shared" si="10"/>
        <v>-489181</v>
      </c>
      <c r="G37" s="276">
        <f t="shared" si="19"/>
        <v>-10.309440648972041</v>
      </c>
      <c r="H37" s="331">
        <v>45718</v>
      </c>
      <c r="I37" s="450">
        <v>64370</v>
      </c>
      <c r="J37" s="249">
        <f>I37-H37</f>
        <v>18652</v>
      </c>
      <c r="K37" s="276">
        <f t="shared" si="20"/>
        <v>40.79793516776762</v>
      </c>
      <c r="L37" s="330">
        <v>4698606</v>
      </c>
      <c r="M37" s="331">
        <v>4191430</v>
      </c>
      <c r="N37" s="249">
        <f>M37-L37</f>
        <v>-507176</v>
      </c>
      <c r="O37" s="276">
        <f t="shared" si="21"/>
        <v>-10.794180231328184</v>
      </c>
      <c r="P37" s="274">
        <v>0</v>
      </c>
      <c r="Q37" s="331">
        <v>0</v>
      </c>
      <c r="R37" s="249">
        <f>Q37-P37</f>
        <v>0</v>
      </c>
      <c r="S37" s="276">
        <f t="shared" si="22"/>
      </c>
      <c r="T37" s="330">
        <v>0</v>
      </c>
      <c r="U37" s="331">
        <v>0</v>
      </c>
      <c r="V37" s="249">
        <f>U37-T37</f>
        <v>0</v>
      </c>
      <c r="W37" s="276">
        <f t="shared" si="23"/>
      </c>
      <c r="X37" s="274">
        <v>657</v>
      </c>
      <c r="Y37" s="275">
        <v>0</v>
      </c>
      <c r="Z37" s="277">
        <f>Y37-X37</f>
        <v>-657</v>
      </c>
      <c r="AA37" s="278">
        <f t="shared" si="25"/>
        <v>-100</v>
      </c>
    </row>
    <row r="38" spans="1:27" s="74" customFormat="1" ht="23.25" customHeight="1" thickBot="1">
      <c r="A38" s="134"/>
      <c r="B38" s="83"/>
      <c r="C38" s="78"/>
      <c r="D38" s="332"/>
      <c r="E38" s="333"/>
      <c r="F38" s="150"/>
      <c r="G38" s="297"/>
      <c r="H38" s="334"/>
      <c r="I38" s="335"/>
      <c r="J38" s="150"/>
      <c r="K38" s="297"/>
      <c r="L38" s="334"/>
      <c r="M38" s="335"/>
      <c r="N38" s="150"/>
      <c r="O38" s="297"/>
      <c r="P38" s="295"/>
      <c r="Q38" s="336"/>
      <c r="R38" s="150"/>
      <c r="S38" s="297"/>
      <c r="T38" s="334"/>
      <c r="U38" s="337"/>
      <c r="V38" s="150"/>
      <c r="W38" s="297"/>
      <c r="X38" s="295"/>
      <c r="Y38" s="296"/>
      <c r="Z38" s="338"/>
      <c r="AA38" s="298"/>
    </row>
    <row r="39" spans="1:28" ht="12.75">
      <c r="A39" s="126"/>
      <c r="B39" s="72"/>
      <c r="C39" s="72"/>
      <c r="D39" s="72"/>
      <c r="E39" s="72"/>
      <c r="F39" s="72"/>
      <c r="G39" s="79"/>
      <c r="H39" s="72"/>
      <c r="I39" s="72"/>
      <c r="J39" s="72"/>
      <c r="K39" s="79"/>
      <c r="L39" s="72"/>
      <c r="M39" s="72"/>
      <c r="N39" s="72"/>
      <c r="O39" s="79"/>
      <c r="S39" s="79"/>
      <c r="W39" s="79"/>
      <c r="AA39" s="72"/>
      <c r="AB39" s="72"/>
    </row>
    <row r="40" spans="1:28" ht="13.5" thickBot="1">
      <c r="A40" s="126"/>
      <c r="B40" s="72"/>
      <c r="C40" s="72"/>
      <c r="AA40" s="72"/>
      <c r="AB40" s="72"/>
    </row>
    <row r="41" spans="1:23" s="65" customFormat="1" ht="23.25" customHeight="1">
      <c r="A41" s="1178" t="s">
        <v>165</v>
      </c>
      <c r="B41" s="1179"/>
      <c r="C41" s="1180"/>
      <c r="D41" s="87" t="s">
        <v>207</v>
      </c>
      <c r="E41" s="86"/>
      <c r="F41" s="86"/>
      <c r="G41" s="86"/>
      <c r="H41" s="80" t="s">
        <v>198</v>
      </c>
      <c r="I41" s="81"/>
      <c r="J41" s="81"/>
      <c r="K41" s="81"/>
      <c r="L41" s="91"/>
      <c r="M41" s="81"/>
      <c r="N41" s="81"/>
      <c r="O41" s="81"/>
      <c r="P41" s="91"/>
      <c r="Q41" s="81"/>
      <c r="R41" s="81"/>
      <c r="S41" s="81"/>
      <c r="T41" s="92" t="s">
        <v>208</v>
      </c>
      <c r="U41" s="93"/>
      <c r="V41" s="93"/>
      <c r="W41" s="138"/>
    </row>
    <row r="42" spans="1:23" s="65" customFormat="1" ht="23.25" customHeight="1">
      <c r="A42" s="1181"/>
      <c r="B42" s="1182"/>
      <c r="C42" s="1183"/>
      <c r="D42" s="252" t="s">
        <v>266</v>
      </c>
      <c r="E42" s="253"/>
      <c r="F42" s="253"/>
      <c r="G42" s="253"/>
      <c r="H42" s="89" t="s">
        <v>200</v>
      </c>
      <c r="I42" s="90"/>
      <c r="J42" s="90"/>
      <c r="K42" s="90"/>
      <c r="L42" s="89" t="s">
        <v>209</v>
      </c>
      <c r="M42" s="90"/>
      <c r="N42" s="90"/>
      <c r="O42" s="90"/>
      <c r="P42" s="89" t="s">
        <v>210</v>
      </c>
      <c r="Q42" s="90"/>
      <c r="R42" s="90"/>
      <c r="S42" s="90"/>
      <c r="T42" s="1203" t="s">
        <v>174</v>
      </c>
      <c r="U42" s="1169" t="s">
        <v>170</v>
      </c>
      <c r="V42" s="1171" t="s">
        <v>173</v>
      </c>
      <c r="W42" s="1173" t="s">
        <v>172</v>
      </c>
    </row>
    <row r="43" spans="1:23" s="65" customFormat="1" ht="23.25" customHeight="1">
      <c r="A43" s="1184"/>
      <c r="B43" s="1185"/>
      <c r="C43" s="1186"/>
      <c r="D43" s="71" t="s">
        <v>174</v>
      </c>
      <c r="E43" s="68" t="s">
        <v>170</v>
      </c>
      <c r="F43" s="68" t="s">
        <v>173</v>
      </c>
      <c r="G43" s="69" t="s">
        <v>172</v>
      </c>
      <c r="H43" s="71" t="s">
        <v>174</v>
      </c>
      <c r="I43" s="70" t="s">
        <v>170</v>
      </c>
      <c r="J43" s="68" t="s">
        <v>173</v>
      </c>
      <c r="K43" s="69" t="s">
        <v>172</v>
      </c>
      <c r="L43" s="71" t="s">
        <v>174</v>
      </c>
      <c r="M43" s="70" t="s">
        <v>170</v>
      </c>
      <c r="N43" s="68" t="s">
        <v>173</v>
      </c>
      <c r="O43" s="69" t="s">
        <v>172</v>
      </c>
      <c r="P43" s="71" t="s">
        <v>174</v>
      </c>
      <c r="Q43" s="70" t="s">
        <v>170</v>
      </c>
      <c r="R43" s="68" t="s">
        <v>173</v>
      </c>
      <c r="S43" s="69" t="s">
        <v>172</v>
      </c>
      <c r="T43" s="1204"/>
      <c r="U43" s="1170"/>
      <c r="V43" s="1172"/>
      <c r="W43" s="1200"/>
    </row>
    <row r="44" spans="1:23" ht="23.25" customHeight="1">
      <c r="A44" s="126"/>
      <c r="B44" s="72"/>
      <c r="C44" s="73"/>
      <c r="D44" s="339"/>
      <c r="E44" s="340"/>
      <c r="F44" s="268"/>
      <c r="G44" s="269"/>
      <c r="H44" s="317"/>
      <c r="I44" s="318"/>
      <c r="J44" s="268"/>
      <c r="K44" s="269"/>
      <c r="L44" s="317"/>
      <c r="M44" s="318"/>
      <c r="N44" s="268"/>
      <c r="O44" s="269"/>
      <c r="P44" s="317"/>
      <c r="Q44" s="318"/>
      <c r="R44" s="268"/>
      <c r="S44" s="269"/>
      <c r="T44" s="341"/>
      <c r="U44" s="318"/>
      <c r="V44" s="268"/>
      <c r="W44" s="465"/>
    </row>
    <row r="45" spans="1:23" ht="23.25" customHeight="1">
      <c r="A45" s="131" t="s">
        <v>175</v>
      </c>
      <c r="B45" s="128"/>
      <c r="C45" s="75"/>
      <c r="D45" s="274">
        <f>D47+D62+D74</f>
        <v>0</v>
      </c>
      <c r="E45" s="300">
        <f>E47+E62+E74</f>
        <v>0</v>
      </c>
      <c r="F45" s="342">
        <f>E45-D45</f>
        <v>0</v>
      </c>
      <c r="G45" s="276">
        <f>_xlfn.IFERROR(F45/D45*100,"")</f>
      </c>
      <c r="H45" s="274">
        <f>H47+H62+H74</f>
        <v>46177143</v>
      </c>
      <c r="I45" s="275">
        <f>I47+I62+I74</f>
        <v>46280140</v>
      </c>
      <c r="J45" s="249">
        <f>I45-H45</f>
        <v>102997</v>
      </c>
      <c r="K45" s="276">
        <f>_xlfn.IFERROR(J45/H45*100,"")</f>
        <v>0.22304758005492026</v>
      </c>
      <c r="L45" s="274">
        <f>L47+L62+L74</f>
        <v>1242720</v>
      </c>
      <c r="M45" s="275">
        <f>M47+M62+M74</f>
        <v>3314028</v>
      </c>
      <c r="N45" s="249">
        <f>M45-L45</f>
        <v>2071308</v>
      </c>
      <c r="O45" s="276">
        <f>_xlfn.IFERROR(N45/L45*100,"")</f>
        <v>166.6753572808034</v>
      </c>
      <c r="P45" s="274">
        <f>P47+P62+P74</f>
        <v>1506211</v>
      </c>
      <c r="Q45" s="275">
        <f>Q47+Q62+Q74</f>
        <v>1348633</v>
      </c>
      <c r="R45" s="249">
        <f>Q45-P45</f>
        <v>-157578</v>
      </c>
      <c r="S45" s="276">
        <f>_xlfn.IFERROR(R45/P45*100,"")</f>
        <v>-10.46188083874039</v>
      </c>
      <c r="T45" s="343">
        <f>T47+T62+T74</f>
        <v>3745151</v>
      </c>
      <c r="U45" s="275">
        <f>U47+U62+U74</f>
        <v>3635322</v>
      </c>
      <c r="V45" s="249">
        <f>U45-T45</f>
        <v>-109829</v>
      </c>
      <c r="W45" s="278">
        <f>_xlfn.IFERROR(V45/T45*100,"")</f>
        <v>-2.9325653358169</v>
      </c>
    </row>
    <row r="46" spans="1:23" ht="23.25" customHeight="1">
      <c r="A46" s="132"/>
      <c r="B46" s="129"/>
      <c r="C46" s="76"/>
      <c r="D46" s="344"/>
      <c r="E46" s="340"/>
      <c r="F46" s="149"/>
      <c r="G46" s="282"/>
      <c r="H46" s="345"/>
      <c r="I46" s="318"/>
      <c r="J46" s="149"/>
      <c r="K46" s="282"/>
      <c r="L46" s="345"/>
      <c r="M46" s="318"/>
      <c r="N46" s="149"/>
      <c r="O46" s="282"/>
      <c r="P46" s="345"/>
      <c r="Q46" s="318"/>
      <c r="R46" s="149"/>
      <c r="S46" s="282"/>
      <c r="T46" s="346"/>
      <c r="U46" s="318"/>
      <c r="V46" s="149"/>
      <c r="W46" s="250"/>
    </row>
    <row r="47" spans="1:23" ht="23.25" customHeight="1">
      <c r="A47" s="132"/>
      <c r="B47" s="128" t="s">
        <v>176</v>
      </c>
      <c r="C47" s="75" t="s">
        <v>135</v>
      </c>
      <c r="D47" s="303"/>
      <c r="E47" s="304"/>
      <c r="F47" s="305"/>
      <c r="G47" s="306"/>
      <c r="H47" s="274">
        <f>SUM(H48:H60)</f>
        <v>39835743</v>
      </c>
      <c r="I47" s="275">
        <f>SUM(I48:I60)</f>
        <v>40264842</v>
      </c>
      <c r="J47" s="249">
        <f>I47-H47</f>
        <v>429099</v>
      </c>
      <c r="K47" s="276">
        <f aca="true" t="shared" si="26" ref="K47:K60">_xlfn.IFERROR(J47/H47*100,"")</f>
        <v>1.0771708211894027</v>
      </c>
      <c r="L47" s="274">
        <f>SUM(L48:L60)</f>
        <v>1185934</v>
      </c>
      <c r="M47" s="275">
        <f>SUM(M48:M60)</f>
        <v>3049480</v>
      </c>
      <c r="N47" s="249">
        <f>M47-L47</f>
        <v>1863546</v>
      </c>
      <c r="O47" s="276">
        <f aca="true" t="shared" si="27" ref="O47:O60">_xlfn.IFERROR(N47/L47*100,"")</f>
        <v>157.13741236864786</v>
      </c>
      <c r="P47" s="274">
        <f>SUM(P48:P60)</f>
        <v>1505073</v>
      </c>
      <c r="Q47" s="275">
        <f>SUM(Q48:Q60)</f>
        <v>1342325</v>
      </c>
      <c r="R47" s="249">
        <f>Q47-P47</f>
        <v>-162748</v>
      </c>
      <c r="S47" s="257">
        <f aca="true" t="shared" si="28" ref="S47:S60">_xlfn.IFERROR(R47/P47*100,"")</f>
        <v>-10.813296099258974</v>
      </c>
      <c r="T47" s="275">
        <f>SUM(T48:T60)</f>
        <v>3261763</v>
      </c>
      <c r="U47" s="275">
        <f>SUM(U48:U60)</f>
        <v>3168900</v>
      </c>
      <c r="V47" s="249">
        <f>U47-T47</f>
        <v>-92863</v>
      </c>
      <c r="W47" s="278">
        <f aca="true" t="shared" si="29" ref="W47:W60">_xlfn.IFERROR(V47/T47*100,"")</f>
        <v>-2.8470186215246174</v>
      </c>
    </row>
    <row r="48" spans="1:23" ht="23.25" customHeight="1">
      <c r="A48" s="132"/>
      <c r="B48" s="129"/>
      <c r="C48" s="76" t="s">
        <v>177</v>
      </c>
      <c r="D48" s="347"/>
      <c r="E48" s="348"/>
      <c r="F48" s="305"/>
      <c r="G48" s="306"/>
      <c r="H48" s="328">
        <v>0</v>
      </c>
      <c r="I48" s="328">
        <v>0</v>
      </c>
      <c r="J48" s="149">
        <f aca="true" t="shared" si="30" ref="J48:J58">I48-H48</f>
        <v>0</v>
      </c>
      <c r="K48" s="282">
        <f t="shared" si="26"/>
      </c>
      <c r="L48" s="328">
        <v>0</v>
      </c>
      <c r="M48" s="328">
        <v>0</v>
      </c>
      <c r="N48" s="149">
        <f aca="true" t="shared" si="31" ref="N48:N58">M48-L48</f>
        <v>0</v>
      </c>
      <c r="O48" s="282">
        <f t="shared" si="27"/>
      </c>
      <c r="P48" s="328">
        <v>0</v>
      </c>
      <c r="Q48" s="328">
        <v>0</v>
      </c>
      <c r="R48" s="149">
        <f aca="true" t="shared" si="32" ref="R48:R58">Q48-P48</f>
        <v>0</v>
      </c>
      <c r="S48" s="301">
        <f t="shared" si="28"/>
      </c>
      <c r="T48" s="328">
        <v>0</v>
      </c>
      <c r="U48" s="328">
        <v>0</v>
      </c>
      <c r="V48" s="149">
        <f>U48-T48</f>
        <v>0</v>
      </c>
      <c r="W48" s="250">
        <f t="shared" si="29"/>
      </c>
    </row>
    <row r="49" spans="1:23" ht="23.25" customHeight="1">
      <c r="A49" s="132"/>
      <c r="B49" s="129"/>
      <c r="C49" s="76" t="s">
        <v>178</v>
      </c>
      <c r="D49" s="347"/>
      <c r="E49" s="348"/>
      <c r="F49" s="305"/>
      <c r="G49" s="306"/>
      <c r="H49" s="328">
        <v>0</v>
      </c>
      <c r="I49" s="328">
        <v>0</v>
      </c>
      <c r="J49" s="149">
        <f t="shared" si="30"/>
        <v>0</v>
      </c>
      <c r="K49" s="282">
        <f t="shared" si="26"/>
      </c>
      <c r="L49" s="328">
        <v>0</v>
      </c>
      <c r="M49" s="328">
        <v>0</v>
      </c>
      <c r="N49" s="149">
        <f t="shared" si="31"/>
        <v>0</v>
      </c>
      <c r="O49" s="282">
        <f t="shared" si="27"/>
      </c>
      <c r="P49" s="328">
        <v>0</v>
      </c>
      <c r="Q49" s="328">
        <v>0</v>
      </c>
      <c r="R49" s="149">
        <f t="shared" si="32"/>
        <v>0</v>
      </c>
      <c r="S49" s="301">
        <f t="shared" si="28"/>
      </c>
      <c r="T49" s="328">
        <v>0</v>
      </c>
      <c r="U49" s="328">
        <v>0</v>
      </c>
      <c r="V49" s="149">
        <f aca="true" t="shared" si="33" ref="V49:V58">U49-T49</f>
        <v>0</v>
      </c>
      <c r="W49" s="250">
        <f t="shared" si="29"/>
      </c>
    </row>
    <row r="50" spans="1:23" ht="23.25" customHeight="1">
      <c r="A50" s="132"/>
      <c r="B50" s="129"/>
      <c r="C50" s="76" t="s">
        <v>179</v>
      </c>
      <c r="D50" s="347"/>
      <c r="E50" s="348"/>
      <c r="F50" s="305"/>
      <c r="G50" s="306"/>
      <c r="H50" s="328">
        <v>0</v>
      </c>
      <c r="I50" s="328">
        <v>0</v>
      </c>
      <c r="J50" s="149">
        <f t="shared" si="30"/>
        <v>0</v>
      </c>
      <c r="K50" s="282">
        <f t="shared" si="26"/>
      </c>
      <c r="L50" s="328">
        <v>0</v>
      </c>
      <c r="M50" s="328">
        <v>0</v>
      </c>
      <c r="N50" s="149">
        <f t="shared" si="31"/>
        <v>0</v>
      </c>
      <c r="O50" s="282">
        <f t="shared" si="27"/>
      </c>
      <c r="P50" s="328">
        <v>0</v>
      </c>
      <c r="Q50" s="328">
        <v>0</v>
      </c>
      <c r="R50" s="149">
        <f t="shared" si="32"/>
        <v>0</v>
      </c>
      <c r="S50" s="301">
        <f t="shared" si="28"/>
      </c>
      <c r="T50" s="328">
        <v>0</v>
      </c>
      <c r="U50" s="328">
        <v>0</v>
      </c>
      <c r="V50" s="149">
        <f t="shared" si="33"/>
        <v>0</v>
      </c>
      <c r="W50" s="250">
        <f t="shared" si="29"/>
      </c>
    </row>
    <row r="51" spans="1:23" ht="23.25" customHeight="1">
      <c r="A51" s="132"/>
      <c r="B51" s="129"/>
      <c r="C51" s="76" t="s">
        <v>245</v>
      </c>
      <c r="D51" s="347"/>
      <c r="E51" s="348"/>
      <c r="F51" s="305"/>
      <c r="G51" s="306"/>
      <c r="H51" s="328">
        <v>9058296</v>
      </c>
      <c r="I51" s="328">
        <v>9391819</v>
      </c>
      <c r="J51" s="149">
        <f t="shared" si="30"/>
        <v>333523</v>
      </c>
      <c r="K51" s="282">
        <f t="shared" si="26"/>
        <v>3.6819618171011412</v>
      </c>
      <c r="L51" s="328">
        <v>328458</v>
      </c>
      <c r="M51" s="328">
        <v>177031</v>
      </c>
      <c r="N51" s="149">
        <f t="shared" si="31"/>
        <v>-151427</v>
      </c>
      <c r="O51" s="282">
        <f t="shared" si="27"/>
        <v>-46.102393608924125</v>
      </c>
      <c r="P51" s="328">
        <v>200701</v>
      </c>
      <c r="Q51" s="328">
        <v>251950</v>
      </c>
      <c r="R51" s="149">
        <f t="shared" si="32"/>
        <v>51249</v>
      </c>
      <c r="S51" s="301">
        <f t="shared" si="28"/>
        <v>25.534999825611234</v>
      </c>
      <c r="T51" s="328">
        <v>1666</v>
      </c>
      <c r="U51" s="328">
        <v>837</v>
      </c>
      <c r="V51" s="149">
        <f t="shared" si="33"/>
        <v>-829</v>
      </c>
      <c r="W51" s="250">
        <f t="shared" si="29"/>
        <v>-49.759903961584634</v>
      </c>
    </row>
    <row r="52" spans="1:23" ht="23.25" customHeight="1">
      <c r="A52" s="132"/>
      <c r="B52" s="129"/>
      <c r="C52" s="76" t="s">
        <v>180</v>
      </c>
      <c r="D52" s="347"/>
      <c r="E52" s="348"/>
      <c r="F52" s="305"/>
      <c r="G52" s="306"/>
      <c r="H52" s="328">
        <v>27420309</v>
      </c>
      <c r="I52" s="328">
        <v>27394796</v>
      </c>
      <c r="J52" s="149">
        <f t="shared" si="30"/>
        <v>-25513</v>
      </c>
      <c r="K52" s="282">
        <f t="shared" si="26"/>
        <v>-0.09304417393691661</v>
      </c>
      <c r="L52" s="328">
        <v>850392</v>
      </c>
      <c r="M52" s="328">
        <v>2829420</v>
      </c>
      <c r="N52" s="149">
        <f t="shared" si="31"/>
        <v>1979028</v>
      </c>
      <c r="O52" s="282">
        <f t="shared" si="27"/>
        <v>232.7194987723309</v>
      </c>
      <c r="P52" s="328">
        <v>1270727</v>
      </c>
      <c r="Q52" s="328">
        <v>1054533</v>
      </c>
      <c r="R52" s="149">
        <f t="shared" si="32"/>
        <v>-216194</v>
      </c>
      <c r="S52" s="301">
        <f t="shared" si="28"/>
        <v>-17.013410433554967</v>
      </c>
      <c r="T52" s="328">
        <v>3061497</v>
      </c>
      <c r="U52" s="328">
        <v>2979391</v>
      </c>
      <c r="V52" s="149">
        <f t="shared" si="33"/>
        <v>-82106</v>
      </c>
      <c r="W52" s="250">
        <f t="shared" si="29"/>
        <v>-2.681890591432884</v>
      </c>
    </row>
    <row r="53" spans="1:23" ht="23.25" customHeight="1">
      <c r="A53" s="132"/>
      <c r="B53" s="129"/>
      <c r="C53" s="76" t="s">
        <v>181</v>
      </c>
      <c r="D53" s="347"/>
      <c r="E53" s="348"/>
      <c r="F53" s="305"/>
      <c r="G53" s="306"/>
      <c r="H53" s="328">
        <v>884836</v>
      </c>
      <c r="I53" s="328">
        <v>895678</v>
      </c>
      <c r="J53" s="149">
        <f t="shared" si="30"/>
        <v>10842</v>
      </c>
      <c r="K53" s="282">
        <f t="shared" si="26"/>
        <v>1.22531180919402</v>
      </c>
      <c r="L53" s="328">
        <v>1991</v>
      </c>
      <c r="M53" s="328">
        <v>861</v>
      </c>
      <c r="N53" s="149">
        <f t="shared" si="31"/>
        <v>-1130</v>
      </c>
      <c r="O53" s="282">
        <f t="shared" si="27"/>
        <v>-56.75539929683576</v>
      </c>
      <c r="P53" s="328">
        <v>0</v>
      </c>
      <c r="Q53" s="328">
        <v>0</v>
      </c>
      <c r="R53" s="149">
        <f t="shared" si="32"/>
        <v>0</v>
      </c>
      <c r="S53" s="301">
        <f t="shared" si="28"/>
      </c>
      <c r="T53" s="328">
        <v>12202</v>
      </c>
      <c r="U53" s="328">
        <v>11828</v>
      </c>
      <c r="V53" s="149">
        <f t="shared" si="33"/>
        <v>-374</v>
      </c>
      <c r="W53" s="250">
        <f t="shared" si="29"/>
        <v>-3.0650712997869203</v>
      </c>
    </row>
    <row r="54" spans="1:23" ht="23.25" customHeight="1">
      <c r="A54" s="132"/>
      <c r="B54" s="129"/>
      <c r="C54" s="76" t="s">
        <v>182</v>
      </c>
      <c r="D54" s="347"/>
      <c r="E54" s="348"/>
      <c r="F54" s="305"/>
      <c r="G54" s="306"/>
      <c r="H54" s="328">
        <v>173464</v>
      </c>
      <c r="I54" s="328">
        <v>177018</v>
      </c>
      <c r="J54" s="149">
        <f t="shared" si="30"/>
        <v>3554</v>
      </c>
      <c r="K54" s="282">
        <f t="shared" si="26"/>
        <v>2.048840105151501</v>
      </c>
      <c r="L54" s="328">
        <v>0</v>
      </c>
      <c r="M54" s="328">
        <v>0</v>
      </c>
      <c r="N54" s="149">
        <f t="shared" si="31"/>
        <v>0</v>
      </c>
      <c r="O54" s="282">
        <f t="shared" si="27"/>
      </c>
      <c r="P54" s="328">
        <v>0</v>
      </c>
      <c r="Q54" s="328">
        <v>0</v>
      </c>
      <c r="R54" s="149">
        <f t="shared" si="32"/>
        <v>0</v>
      </c>
      <c r="S54" s="301">
        <f t="shared" si="28"/>
      </c>
      <c r="T54" s="328">
        <v>3552</v>
      </c>
      <c r="U54" s="328">
        <v>3692</v>
      </c>
      <c r="V54" s="149">
        <f t="shared" si="33"/>
        <v>140</v>
      </c>
      <c r="W54" s="250">
        <f t="shared" si="29"/>
        <v>3.9414414414414414</v>
      </c>
    </row>
    <row r="55" spans="1:23" ht="23.25" customHeight="1">
      <c r="A55" s="132"/>
      <c r="B55" s="129"/>
      <c r="C55" s="76" t="s">
        <v>38</v>
      </c>
      <c r="D55" s="347"/>
      <c r="E55" s="348"/>
      <c r="F55" s="305"/>
      <c r="G55" s="306"/>
      <c r="H55" s="328">
        <v>2094499</v>
      </c>
      <c r="I55" s="328">
        <v>2189438</v>
      </c>
      <c r="J55" s="149">
        <f t="shared" si="30"/>
        <v>94939</v>
      </c>
      <c r="K55" s="282">
        <f t="shared" si="26"/>
        <v>4.532778483064447</v>
      </c>
      <c r="L55" s="328">
        <v>2645</v>
      </c>
      <c r="M55" s="328">
        <v>11660</v>
      </c>
      <c r="N55" s="149">
        <f t="shared" si="31"/>
        <v>9015</v>
      </c>
      <c r="O55" s="282">
        <f t="shared" si="27"/>
        <v>340.83175803402645</v>
      </c>
      <c r="P55" s="328">
        <v>33645</v>
      </c>
      <c r="Q55" s="328">
        <v>35842</v>
      </c>
      <c r="R55" s="149">
        <f t="shared" si="32"/>
        <v>2197</v>
      </c>
      <c r="S55" s="301">
        <f t="shared" si="28"/>
        <v>6.529945014117996</v>
      </c>
      <c r="T55" s="328">
        <v>164614</v>
      </c>
      <c r="U55" s="328">
        <v>156864</v>
      </c>
      <c r="V55" s="149">
        <f t="shared" si="33"/>
        <v>-7750</v>
      </c>
      <c r="W55" s="250">
        <f t="shared" si="29"/>
        <v>-4.707983525095071</v>
      </c>
    </row>
    <row r="56" spans="1:23" ht="23.25" customHeight="1">
      <c r="A56" s="132"/>
      <c r="B56" s="129"/>
      <c r="C56" s="76" t="s">
        <v>183</v>
      </c>
      <c r="D56" s="347"/>
      <c r="E56" s="348"/>
      <c r="F56" s="305"/>
      <c r="G56" s="306"/>
      <c r="H56" s="328">
        <v>204339</v>
      </c>
      <c r="I56" s="328">
        <v>216093</v>
      </c>
      <c r="J56" s="149">
        <f t="shared" si="30"/>
        <v>11754</v>
      </c>
      <c r="K56" s="282">
        <f t="shared" si="26"/>
        <v>5.752205893148151</v>
      </c>
      <c r="L56" s="328">
        <v>2448</v>
      </c>
      <c r="M56" s="328">
        <v>30508</v>
      </c>
      <c r="N56" s="149">
        <f t="shared" si="31"/>
        <v>28060</v>
      </c>
      <c r="O56" s="282">
        <f t="shared" si="27"/>
        <v>1146.2418300653594</v>
      </c>
      <c r="P56" s="328">
        <v>0</v>
      </c>
      <c r="Q56" s="328">
        <v>0</v>
      </c>
      <c r="R56" s="149">
        <f t="shared" si="32"/>
        <v>0</v>
      </c>
      <c r="S56" s="301">
        <f t="shared" si="28"/>
      </c>
      <c r="T56" s="328">
        <v>18232</v>
      </c>
      <c r="U56" s="328">
        <v>16288</v>
      </c>
      <c r="V56" s="149">
        <f t="shared" si="33"/>
        <v>-1944</v>
      </c>
      <c r="W56" s="250">
        <f t="shared" si="29"/>
        <v>-10.66257130320316</v>
      </c>
    </row>
    <row r="57" spans="1:23" ht="23.25" customHeight="1">
      <c r="A57" s="132"/>
      <c r="B57" s="129"/>
      <c r="C57" s="76" t="s">
        <v>184</v>
      </c>
      <c r="D57" s="347"/>
      <c r="E57" s="348"/>
      <c r="F57" s="305"/>
      <c r="G57" s="306"/>
      <c r="H57" s="328">
        <v>0</v>
      </c>
      <c r="I57" s="328">
        <v>0</v>
      </c>
      <c r="J57" s="149">
        <f t="shared" si="30"/>
        <v>0</v>
      </c>
      <c r="K57" s="282">
        <f t="shared" si="26"/>
      </c>
      <c r="L57" s="328">
        <v>0</v>
      </c>
      <c r="M57" s="328">
        <v>0</v>
      </c>
      <c r="N57" s="149">
        <f t="shared" si="31"/>
        <v>0</v>
      </c>
      <c r="O57" s="282">
        <f t="shared" si="27"/>
      </c>
      <c r="P57" s="328">
        <v>0</v>
      </c>
      <c r="Q57" s="328">
        <v>0</v>
      </c>
      <c r="R57" s="149">
        <f t="shared" si="32"/>
        <v>0</v>
      </c>
      <c r="S57" s="301">
        <f t="shared" si="28"/>
      </c>
      <c r="T57" s="328">
        <v>0</v>
      </c>
      <c r="U57" s="328">
        <v>0</v>
      </c>
      <c r="V57" s="149">
        <f t="shared" si="33"/>
        <v>0</v>
      </c>
      <c r="W57" s="250">
        <f t="shared" si="29"/>
      </c>
    </row>
    <row r="58" spans="1:23" ht="23.25" customHeight="1">
      <c r="A58" s="132"/>
      <c r="B58" s="129"/>
      <c r="C58" s="76" t="s">
        <v>185</v>
      </c>
      <c r="D58" s="347"/>
      <c r="E58" s="348"/>
      <c r="F58" s="305"/>
      <c r="G58" s="306"/>
      <c r="H58" s="328">
        <v>0</v>
      </c>
      <c r="I58" s="328">
        <v>0</v>
      </c>
      <c r="J58" s="149">
        <f t="shared" si="30"/>
        <v>0</v>
      </c>
      <c r="K58" s="282">
        <f t="shared" si="26"/>
      </c>
      <c r="L58" s="328">
        <v>0</v>
      </c>
      <c r="M58" s="328">
        <v>0</v>
      </c>
      <c r="N58" s="149">
        <f t="shared" si="31"/>
        <v>0</v>
      </c>
      <c r="O58" s="282">
        <f t="shared" si="27"/>
      </c>
      <c r="P58" s="328">
        <v>0</v>
      </c>
      <c r="Q58" s="328">
        <v>0</v>
      </c>
      <c r="R58" s="149">
        <f t="shared" si="32"/>
        <v>0</v>
      </c>
      <c r="S58" s="301">
        <f t="shared" si="28"/>
      </c>
      <c r="T58" s="328">
        <v>0</v>
      </c>
      <c r="U58" s="328">
        <v>0</v>
      </c>
      <c r="V58" s="149">
        <f t="shared" si="33"/>
        <v>0</v>
      </c>
      <c r="W58" s="250">
        <f t="shared" si="29"/>
      </c>
    </row>
    <row r="59" spans="1:23" ht="23.25" customHeight="1">
      <c r="A59" s="132"/>
      <c r="B59" s="129"/>
      <c r="C59" s="76" t="s">
        <v>320</v>
      </c>
      <c r="D59" s="347"/>
      <c r="E59" s="348"/>
      <c r="F59" s="305"/>
      <c r="G59" s="306"/>
      <c r="H59" s="328">
        <v>0</v>
      </c>
      <c r="I59" s="328">
        <v>0</v>
      </c>
      <c r="J59" s="149">
        <f>I59-H59</f>
        <v>0</v>
      </c>
      <c r="K59" s="282">
        <f t="shared" si="26"/>
      </c>
      <c r="L59" s="328">
        <v>0</v>
      </c>
      <c r="M59" s="328">
        <v>0</v>
      </c>
      <c r="N59" s="149">
        <f>M59-L59</f>
        <v>0</v>
      </c>
      <c r="O59" s="282">
        <f t="shared" si="27"/>
      </c>
      <c r="P59" s="328">
        <v>0</v>
      </c>
      <c r="Q59" s="328">
        <v>0</v>
      </c>
      <c r="R59" s="149">
        <f>Q59-P59</f>
        <v>0</v>
      </c>
      <c r="S59" s="301">
        <f t="shared" si="28"/>
      </c>
      <c r="T59" s="328">
        <v>0</v>
      </c>
      <c r="U59" s="328">
        <v>0</v>
      </c>
      <c r="V59" s="149">
        <f>U59-T59</f>
        <v>0</v>
      </c>
      <c r="W59" s="250">
        <f t="shared" si="29"/>
      </c>
    </row>
    <row r="60" spans="1:23" ht="23.25" customHeight="1">
      <c r="A60" s="132"/>
      <c r="B60" s="129"/>
      <c r="C60" s="76" t="s">
        <v>319</v>
      </c>
      <c r="D60" s="347"/>
      <c r="E60" s="348"/>
      <c r="F60" s="305"/>
      <c r="G60" s="306"/>
      <c r="H60" s="328">
        <v>0</v>
      </c>
      <c r="I60" s="328">
        <v>0</v>
      </c>
      <c r="J60" s="149">
        <f>I60-H60</f>
        <v>0</v>
      </c>
      <c r="K60" s="282">
        <f t="shared" si="26"/>
      </c>
      <c r="L60" s="328">
        <v>0</v>
      </c>
      <c r="M60" s="328">
        <v>0</v>
      </c>
      <c r="N60" s="149">
        <f>M60-L60</f>
        <v>0</v>
      </c>
      <c r="O60" s="282">
        <f t="shared" si="27"/>
      </c>
      <c r="P60" s="328">
        <v>0</v>
      </c>
      <c r="Q60" s="328">
        <v>0</v>
      </c>
      <c r="R60" s="149">
        <f>Q60-P60</f>
        <v>0</v>
      </c>
      <c r="S60" s="301">
        <f t="shared" si="28"/>
      </c>
      <c r="T60" s="328">
        <v>0</v>
      </c>
      <c r="U60" s="328">
        <v>0</v>
      </c>
      <c r="V60" s="149">
        <f>U60-T60</f>
        <v>0</v>
      </c>
      <c r="W60" s="250">
        <f t="shared" si="29"/>
      </c>
    </row>
    <row r="61" spans="1:23" ht="23.25" customHeight="1">
      <c r="A61" s="132"/>
      <c r="B61" s="129"/>
      <c r="C61" s="76"/>
      <c r="D61" s="349"/>
      <c r="E61" s="350"/>
      <c r="F61" s="251"/>
      <c r="G61" s="284"/>
      <c r="H61" s="318"/>
      <c r="I61" s="318"/>
      <c r="J61" s="149"/>
      <c r="K61" s="282"/>
      <c r="L61" s="318"/>
      <c r="M61" s="318"/>
      <c r="N61" s="149"/>
      <c r="O61" s="282"/>
      <c r="P61" s="318"/>
      <c r="Q61" s="318"/>
      <c r="R61" s="149"/>
      <c r="S61" s="301"/>
      <c r="T61" s="324"/>
      <c r="U61" s="324"/>
      <c r="V61" s="149"/>
      <c r="W61" s="250"/>
    </row>
    <row r="62" spans="1:24" ht="23.25" customHeight="1">
      <c r="A62" s="132"/>
      <c r="B62" s="128" t="s">
        <v>272</v>
      </c>
      <c r="C62" s="75" t="s">
        <v>135</v>
      </c>
      <c r="D62" s="274">
        <f>SUM(D63:D72)</f>
        <v>0</v>
      </c>
      <c r="E62" s="351">
        <f>SUM(E63:E72)</f>
        <v>0</v>
      </c>
      <c r="F62" s="249">
        <f>E62-D62</f>
        <v>0</v>
      </c>
      <c r="G62" s="276">
        <f>_xlfn.IFERROR(F62/D62*100,"")</f>
      </c>
      <c r="H62" s="275">
        <f>SUM(H63:H72)</f>
        <v>1621153</v>
      </c>
      <c r="I62" s="275">
        <f>SUM(I63:I72)</f>
        <v>1796438</v>
      </c>
      <c r="J62" s="249">
        <f aca="true" t="shared" si="34" ref="J62:J72">I62-H62</f>
        <v>175285</v>
      </c>
      <c r="K62" s="276">
        <f>_xlfn.IFERROR(J62/H62*100,"")</f>
        <v>10.81236626030979</v>
      </c>
      <c r="L62" s="275">
        <f>SUM(L63:L72)</f>
        <v>32678</v>
      </c>
      <c r="M62" s="275">
        <f>SUM(M63:M72)</f>
        <v>228222</v>
      </c>
      <c r="N62" s="249">
        <f>M62-L62</f>
        <v>195544</v>
      </c>
      <c r="O62" s="276">
        <f>_xlfn.IFERROR(N62/L62*100,"")</f>
        <v>598.3964746924537</v>
      </c>
      <c r="P62" s="275">
        <f>SUM(P63:P72)</f>
        <v>512</v>
      </c>
      <c r="Q62" s="275">
        <f>SUM(Q63:Q72)</f>
        <v>5694</v>
      </c>
      <c r="R62" s="249">
        <f>Q62-P62</f>
        <v>5182</v>
      </c>
      <c r="S62" s="257">
        <f>_xlfn.IFERROR(R62/P62*100,"")</f>
        <v>1012.109375</v>
      </c>
      <c r="T62" s="331">
        <v>49397</v>
      </c>
      <c r="U62" s="331">
        <v>57551</v>
      </c>
      <c r="V62" s="249">
        <f>U62-T62</f>
        <v>8154</v>
      </c>
      <c r="W62" s="278">
        <f>_xlfn.IFERROR(V62/T62*100,"")</f>
        <v>16.507075328461244</v>
      </c>
      <c r="X62" s="264"/>
    </row>
    <row r="63" spans="1:24" ht="23.25" customHeight="1">
      <c r="A63" s="132"/>
      <c r="B63" s="129"/>
      <c r="C63" s="76" t="s">
        <v>187</v>
      </c>
      <c r="D63" s="290">
        <v>0</v>
      </c>
      <c r="E63" s="352">
        <v>0</v>
      </c>
      <c r="F63" s="149">
        <f aca="true" t="shared" si="35" ref="F63:F72">E63-D63</f>
        <v>0</v>
      </c>
      <c r="G63" s="282">
        <f aca="true" t="shared" si="36" ref="G63:G72">_xlfn.IFERROR(F63/D63*100,"")</f>
      </c>
      <c r="H63" s="328">
        <v>0</v>
      </c>
      <c r="I63" s="328">
        <v>0</v>
      </c>
      <c r="J63" s="149">
        <f t="shared" si="34"/>
        <v>0</v>
      </c>
      <c r="K63" s="282">
        <f aca="true" t="shared" si="37" ref="K63:K72">_xlfn.IFERROR(J63/H63*100,"")</f>
      </c>
      <c r="L63" s="328">
        <v>0</v>
      </c>
      <c r="M63" s="328">
        <v>0</v>
      </c>
      <c r="N63" s="149">
        <f aca="true" t="shared" si="38" ref="N63:N72">M63-L63</f>
        <v>0</v>
      </c>
      <c r="O63" s="282">
        <f aca="true" t="shared" si="39" ref="O63:O74">_xlfn.IFERROR(N63/L63*100,"")</f>
      </c>
      <c r="P63" s="328">
        <v>0</v>
      </c>
      <c r="Q63" s="328">
        <v>0</v>
      </c>
      <c r="R63" s="149">
        <f aca="true" t="shared" si="40" ref="R63:R72">Q63-P63</f>
        <v>0</v>
      </c>
      <c r="S63" s="301">
        <f aca="true" t="shared" si="41" ref="S63:S74">_xlfn.IFERROR(R63/P63*100,"")</f>
      </c>
      <c r="T63" s="466"/>
      <c r="U63" s="354"/>
      <c r="V63" s="309"/>
      <c r="W63" s="250">
        <f aca="true" t="shared" si="42" ref="W63:W74">_xlfn.IFERROR(V63/T63*100,"")</f>
      </c>
      <c r="X63" s="265"/>
    </row>
    <row r="64" spans="1:24" ht="23.25" customHeight="1">
      <c r="A64" s="132"/>
      <c r="B64" s="129"/>
      <c r="C64" s="76" t="s">
        <v>188</v>
      </c>
      <c r="D64" s="290">
        <v>0</v>
      </c>
      <c r="E64" s="352">
        <v>0</v>
      </c>
      <c r="F64" s="149">
        <f t="shared" si="35"/>
        <v>0</v>
      </c>
      <c r="G64" s="282">
        <f t="shared" si="36"/>
      </c>
      <c r="H64" s="328">
        <v>159503</v>
      </c>
      <c r="I64" s="328">
        <v>154780</v>
      </c>
      <c r="J64" s="149">
        <f t="shared" si="34"/>
        <v>-4723</v>
      </c>
      <c r="K64" s="282">
        <f t="shared" si="37"/>
        <v>-2.9610728324859092</v>
      </c>
      <c r="L64" s="328">
        <v>32291</v>
      </c>
      <c r="M64" s="328">
        <v>32587</v>
      </c>
      <c r="N64" s="149">
        <f t="shared" si="38"/>
        <v>296</v>
      </c>
      <c r="O64" s="282">
        <f t="shared" si="39"/>
        <v>0.9166640859682265</v>
      </c>
      <c r="P64" s="328">
        <v>0</v>
      </c>
      <c r="Q64" s="328">
        <v>0</v>
      </c>
      <c r="R64" s="149">
        <f t="shared" si="40"/>
        <v>0</v>
      </c>
      <c r="S64" s="282">
        <f t="shared" si="41"/>
      </c>
      <c r="T64" s="353"/>
      <c r="U64" s="354"/>
      <c r="V64" s="309"/>
      <c r="W64" s="250">
        <f t="shared" si="42"/>
      </c>
      <c r="X64" s="265"/>
    </row>
    <row r="65" spans="1:24" ht="23.25" customHeight="1">
      <c r="A65" s="132"/>
      <c r="B65" s="129"/>
      <c r="C65" s="76" t="s">
        <v>189</v>
      </c>
      <c r="D65" s="290">
        <v>0</v>
      </c>
      <c r="E65" s="352">
        <v>0</v>
      </c>
      <c r="F65" s="149">
        <f t="shared" si="35"/>
        <v>0</v>
      </c>
      <c r="G65" s="282">
        <f t="shared" si="36"/>
      </c>
      <c r="H65" s="328">
        <v>1106470</v>
      </c>
      <c r="I65" s="328">
        <v>1311028</v>
      </c>
      <c r="J65" s="149">
        <f t="shared" si="34"/>
        <v>204558</v>
      </c>
      <c r="K65" s="282">
        <f t="shared" si="37"/>
        <v>18.487442045423734</v>
      </c>
      <c r="L65" s="328">
        <v>387</v>
      </c>
      <c r="M65" s="328">
        <v>195635</v>
      </c>
      <c r="N65" s="149">
        <f t="shared" si="38"/>
        <v>195248</v>
      </c>
      <c r="O65" s="282">
        <f t="shared" si="39"/>
        <v>50451.67958656331</v>
      </c>
      <c r="P65" s="328">
        <v>512</v>
      </c>
      <c r="Q65" s="328">
        <v>5694</v>
      </c>
      <c r="R65" s="149">
        <f t="shared" si="40"/>
        <v>5182</v>
      </c>
      <c r="S65" s="282">
        <f t="shared" si="41"/>
        <v>1012.109375</v>
      </c>
      <c r="T65" s="353"/>
      <c r="U65" s="354"/>
      <c r="V65" s="309"/>
      <c r="W65" s="250">
        <f t="shared" si="42"/>
      </c>
      <c r="X65" s="265"/>
    </row>
    <row r="66" spans="1:24" ht="23.25" customHeight="1">
      <c r="A66" s="132"/>
      <c r="B66" s="129"/>
      <c r="C66" s="76" t="s">
        <v>190</v>
      </c>
      <c r="D66" s="290">
        <v>0</v>
      </c>
      <c r="E66" s="352">
        <v>0</v>
      </c>
      <c r="F66" s="149">
        <f t="shared" si="35"/>
        <v>0</v>
      </c>
      <c r="G66" s="282">
        <f t="shared" si="36"/>
      </c>
      <c r="H66" s="328">
        <v>0</v>
      </c>
      <c r="I66" s="328">
        <v>0</v>
      </c>
      <c r="J66" s="149">
        <f t="shared" si="34"/>
        <v>0</v>
      </c>
      <c r="K66" s="282">
        <f t="shared" si="37"/>
      </c>
      <c r="L66" s="328">
        <v>0</v>
      </c>
      <c r="M66" s="328">
        <v>0</v>
      </c>
      <c r="N66" s="149">
        <f t="shared" si="38"/>
        <v>0</v>
      </c>
      <c r="O66" s="282">
        <f t="shared" si="39"/>
      </c>
      <c r="P66" s="328">
        <v>0</v>
      </c>
      <c r="Q66" s="328">
        <v>0</v>
      </c>
      <c r="R66" s="149">
        <f t="shared" si="40"/>
        <v>0</v>
      </c>
      <c r="S66" s="282">
        <f t="shared" si="41"/>
      </c>
      <c r="T66" s="353"/>
      <c r="U66" s="354"/>
      <c r="V66" s="309"/>
      <c r="W66" s="250">
        <f t="shared" si="42"/>
      </c>
      <c r="X66" s="265"/>
    </row>
    <row r="67" spans="1:24" ht="23.25" customHeight="1">
      <c r="A67" s="132"/>
      <c r="B67" s="129"/>
      <c r="C67" s="76" t="s">
        <v>191</v>
      </c>
      <c r="D67" s="290">
        <v>0</v>
      </c>
      <c r="E67" s="352">
        <v>0</v>
      </c>
      <c r="F67" s="149">
        <f t="shared" si="35"/>
        <v>0</v>
      </c>
      <c r="G67" s="282">
        <f t="shared" si="36"/>
      </c>
      <c r="H67" s="328">
        <v>45034</v>
      </c>
      <c r="I67" s="328">
        <v>37791</v>
      </c>
      <c r="J67" s="149">
        <f t="shared" si="34"/>
        <v>-7243</v>
      </c>
      <c r="K67" s="282">
        <f t="shared" si="37"/>
        <v>-16.08340365057512</v>
      </c>
      <c r="L67" s="328">
        <v>0</v>
      </c>
      <c r="M67" s="328">
        <v>0</v>
      </c>
      <c r="N67" s="149">
        <f t="shared" si="38"/>
        <v>0</v>
      </c>
      <c r="O67" s="282">
        <f t="shared" si="39"/>
      </c>
      <c r="P67" s="328">
        <v>0</v>
      </c>
      <c r="Q67" s="328">
        <v>0</v>
      </c>
      <c r="R67" s="149">
        <f t="shared" si="40"/>
        <v>0</v>
      </c>
      <c r="S67" s="282">
        <f t="shared" si="41"/>
      </c>
      <c r="T67" s="353"/>
      <c r="U67" s="354"/>
      <c r="V67" s="309"/>
      <c r="W67" s="250">
        <f t="shared" si="42"/>
      </c>
      <c r="X67" s="265"/>
    </row>
    <row r="68" spans="1:24" ht="23.25" customHeight="1">
      <c r="A68" s="132"/>
      <c r="B68" s="129"/>
      <c r="C68" s="76" t="s">
        <v>192</v>
      </c>
      <c r="D68" s="290">
        <v>0</v>
      </c>
      <c r="E68" s="352">
        <v>0</v>
      </c>
      <c r="F68" s="149">
        <f t="shared" si="35"/>
        <v>0</v>
      </c>
      <c r="G68" s="282">
        <f t="shared" si="36"/>
      </c>
      <c r="H68" s="328">
        <v>0</v>
      </c>
      <c r="I68" s="328">
        <v>0</v>
      </c>
      <c r="J68" s="149">
        <f t="shared" si="34"/>
        <v>0</v>
      </c>
      <c r="K68" s="282">
        <f t="shared" si="37"/>
      </c>
      <c r="L68" s="328">
        <v>0</v>
      </c>
      <c r="M68" s="328">
        <v>0</v>
      </c>
      <c r="N68" s="149">
        <f t="shared" si="38"/>
        <v>0</v>
      </c>
      <c r="O68" s="282">
        <f t="shared" si="39"/>
      </c>
      <c r="P68" s="328">
        <v>0</v>
      </c>
      <c r="Q68" s="328">
        <v>0</v>
      </c>
      <c r="R68" s="149">
        <f t="shared" si="40"/>
        <v>0</v>
      </c>
      <c r="S68" s="282">
        <f t="shared" si="41"/>
      </c>
      <c r="T68" s="353"/>
      <c r="U68" s="354"/>
      <c r="V68" s="309"/>
      <c r="W68" s="250">
        <f t="shared" si="42"/>
      </c>
      <c r="X68" s="265"/>
    </row>
    <row r="69" spans="1:24" ht="23.25" customHeight="1">
      <c r="A69" s="132"/>
      <c r="B69" s="129"/>
      <c r="C69" s="76" t="s">
        <v>193</v>
      </c>
      <c r="D69" s="290">
        <v>0</v>
      </c>
      <c r="E69" s="352">
        <v>0</v>
      </c>
      <c r="F69" s="149">
        <f t="shared" si="35"/>
        <v>0</v>
      </c>
      <c r="G69" s="282">
        <f t="shared" si="36"/>
      </c>
      <c r="H69" s="328">
        <v>0</v>
      </c>
      <c r="I69" s="328">
        <v>0</v>
      </c>
      <c r="J69" s="149">
        <f t="shared" si="34"/>
        <v>0</v>
      </c>
      <c r="K69" s="282">
        <f t="shared" si="37"/>
      </c>
      <c r="L69" s="328">
        <v>0</v>
      </c>
      <c r="M69" s="328">
        <v>0</v>
      </c>
      <c r="N69" s="149">
        <f t="shared" si="38"/>
        <v>0</v>
      </c>
      <c r="O69" s="282">
        <f t="shared" si="39"/>
      </c>
      <c r="P69" s="328">
        <v>0</v>
      </c>
      <c r="Q69" s="328">
        <v>0</v>
      </c>
      <c r="R69" s="149">
        <f t="shared" si="40"/>
        <v>0</v>
      </c>
      <c r="S69" s="282">
        <f t="shared" si="41"/>
      </c>
      <c r="T69" s="353"/>
      <c r="U69" s="354"/>
      <c r="V69" s="309"/>
      <c r="W69" s="250">
        <f t="shared" si="42"/>
      </c>
      <c r="X69" s="265"/>
    </row>
    <row r="70" spans="1:24" ht="23.25" customHeight="1">
      <c r="A70" s="132"/>
      <c r="B70" s="129"/>
      <c r="C70" s="76" t="s">
        <v>194</v>
      </c>
      <c r="D70" s="290">
        <v>0</v>
      </c>
      <c r="E70" s="352">
        <v>0</v>
      </c>
      <c r="F70" s="149">
        <f t="shared" si="35"/>
        <v>0</v>
      </c>
      <c r="G70" s="282">
        <f t="shared" si="36"/>
      </c>
      <c r="H70" s="328">
        <v>182740</v>
      </c>
      <c r="I70" s="328">
        <v>156879</v>
      </c>
      <c r="J70" s="149">
        <f t="shared" si="34"/>
        <v>-25861</v>
      </c>
      <c r="K70" s="282">
        <f t="shared" si="37"/>
        <v>-14.151800372113385</v>
      </c>
      <c r="L70" s="328">
        <v>0</v>
      </c>
      <c r="M70" s="328">
        <v>0</v>
      </c>
      <c r="N70" s="149">
        <f t="shared" si="38"/>
        <v>0</v>
      </c>
      <c r="O70" s="282">
        <f t="shared" si="39"/>
      </c>
      <c r="P70" s="328">
        <v>0</v>
      </c>
      <c r="Q70" s="328">
        <v>0</v>
      </c>
      <c r="R70" s="149">
        <f t="shared" si="40"/>
        <v>0</v>
      </c>
      <c r="S70" s="282">
        <f t="shared" si="41"/>
      </c>
      <c r="T70" s="353"/>
      <c r="U70" s="354"/>
      <c r="V70" s="309"/>
      <c r="W70" s="250">
        <f t="shared" si="42"/>
      </c>
      <c r="X70" s="265"/>
    </row>
    <row r="71" spans="1:24" ht="23.25" customHeight="1">
      <c r="A71" s="132"/>
      <c r="B71" s="129"/>
      <c r="C71" s="77" t="s">
        <v>195</v>
      </c>
      <c r="D71" s="290">
        <v>0</v>
      </c>
      <c r="E71" s="352">
        <v>0</v>
      </c>
      <c r="F71" s="149">
        <f t="shared" si="35"/>
        <v>0</v>
      </c>
      <c r="G71" s="282">
        <f t="shared" si="36"/>
      </c>
      <c r="H71" s="328">
        <v>56320</v>
      </c>
      <c r="I71" s="328">
        <v>61614</v>
      </c>
      <c r="J71" s="149">
        <f t="shared" si="34"/>
        <v>5294</v>
      </c>
      <c r="K71" s="282">
        <f t="shared" si="37"/>
        <v>9.399857954545453</v>
      </c>
      <c r="L71" s="328">
        <v>0</v>
      </c>
      <c r="M71" s="328">
        <v>0</v>
      </c>
      <c r="N71" s="149">
        <f t="shared" si="38"/>
        <v>0</v>
      </c>
      <c r="O71" s="282">
        <f t="shared" si="39"/>
      </c>
      <c r="P71" s="328">
        <v>0</v>
      </c>
      <c r="Q71" s="328">
        <v>0</v>
      </c>
      <c r="R71" s="149">
        <f t="shared" si="40"/>
        <v>0</v>
      </c>
      <c r="S71" s="282">
        <f t="shared" si="41"/>
      </c>
      <c r="T71" s="353"/>
      <c r="U71" s="354"/>
      <c r="V71" s="309"/>
      <c r="W71" s="250">
        <f t="shared" si="42"/>
      </c>
      <c r="X71" s="265"/>
    </row>
    <row r="72" spans="1:24" ht="23.25" customHeight="1">
      <c r="A72" s="132"/>
      <c r="B72" s="129"/>
      <c r="C72" s="76" t="s">
        <v>196</v>
      </c>
      <c r="D72" s="290">
        <v>0</v>
      </c>
      <c r="E72" s="352">
        <v>0</v>
      </c>
      <c r="F72" s="149">
        <f t="shared" si="35"/>
        <v>0</v>
      </c>
      <c r="G72" s="282">
        <f t="shared" si="36"/>
      </c>
      <c r="H72" s="328">
        <v>71086</v>
      </c>
      <c r="I72" s="328">
        <v>74346</v>
      </c>
      <c r="J72" s="149">
        <f t="shared" si="34"/>
        <v>3260</v>
      </c>
      <c r="K72" s="282">
        <f t="shared" si="37"/>
        <v>4.585994429282841</v>
      </c>
      <c r="L72" s="328">
        <v>0</v>
      </c>
      <c r="M72" s="328">
        <v>0</v>
      </c>
      <c r="N72" s="149">
        <f t="shared" si="38"/>
        <v>0</v>
      </c>
      <c r="O72" s="282">
        <f t="shared" si="39"/>
      </c>
      <c r="P72" s="328">
        <v>0</v>
      </c>
      <c r="Q72" s="328">
        <v>0</v>
      </c>
      <c r="R72" s="149">
        <f t="shared" si="40"/>
        <v>0</v>
      </c>
      <c r="S72" s="282">
        <f t="shared" si="41"/>
      </c>
      <c r="T72" s="353"/>
      <c r="U72" s="354"/>
      <c r="V72" s="309"/>
      <c r="W72" s="250">
        <f t="shared" si="42"/>
      </c>
      <c r="X72" s="265"/>
    </row>
    <row r="73" spans="1:23" ht="23.25" customHeight="1">
      <c r="A73" s="132"/>
      <c r="B73" s="129"/>
      <c r="C73" s="76"/>
      <c r="D73" s="279"/>
      <c r="E73" s="356"/>
      <c r="F73" s="251"/>
      <c r="G73" s="284"/>
      <c r="H73" s="324"/>
      <c r="I73" s="324"/>
      <c r="J73" s="149"/>
      <c r="K73" s="282"/>
      <c r="L73" s="324"/>
      <c r="M73" s="324"/>
      <c r="N73" s="149"/>
      <c r="O73" s="282"/>
      <c r="P73" s="324"/>
      <c r="Q73" s="324"/>
      <c r="R73" s="149"/>
      <c r="S73" s="282"/>
      <c r="T73" s="346"/>
      <c r="U73" s="318"/>
      <c r="V73" s="251"/>
      <c r="W73" s="250"/>
    </row>
    <row r="74" spans="1:23" ht="23.25" customHeight="1">
      <c r="A74" s="132"/>
      <c r="B74" s="128" t="s">
        <v>273</v>
      </c>
      <c r="C74" s="75" t="s">
        <v>135</v>
      </c>
      <c r="D74" s="303"/>
      <c r="E74" s="358"/>
      <c r="F74" s="311"/>
      <c r="G74" s="312"/>
      <c r="H74" s="359">
        <v>4720247</v>
      </c>
      <c r="I74" s="359">
        <v>4218860</v>
      </c>
      <c r="J74" s="249">
        <f>I74-H74</f>
        <v>-501387</v>
      </c>
      <c r="K74" s="276">
        <f>_xlfn.IFERROR(J74/H74*100,"")</f>
        <v>-10.622050074921926</v>
      </c>
      <c r="L74" s="331">
        <v>24108</v>
      </c>
      <c r="M74" s="331">
        <v>36326</v>
      </c>
      <c r="N74" s="249">
        <f>M74-L74</f>
        <v>12218</v>
      </c>
      <c r="O74" s="276">
        <f t="shared" si="39"/>
        <v>50.68027210884354</v>
      </c>
      <c r="P74" s="331">
        <v>626</v>
      </c>
      <c r="Q74" s="331">
        <v>614</v>
      </c>
      <c r="R74" s="249">
        <f>Q74-P74</f>
        <v>-12</v>
      </c>
      <c r="S74" s="257">
        <f t="shared" si="41"/>
        <v>-1.9169329073482428</v>
      </c>
      <c r="T74" s="451">
        <v>433991</v>
      </c>
      <c r="U74" s="450">
        <v>408871</v>
      </c>
      <c r="V74" s="249">
        <f>U74-T74</f>
        <v>-25120</v>
      </c>
      <c r="W74" s="278">
        <f t="shared" si="42"/>
        <v>-5.78813846370086</v>
      </c>
    </row>
    <row r="75" spans="1:23" ht="23.25" customHeight="1" thickBot="1">
      <c r="A75" s="134"/>
      <c r="B75" s="83"/>
      <c r="C75" s="78"/>
      <c r="D75" s="295"/>
      <c r="E75" s="360"/>
      <c r="F75" s="150"/>
      <c r="G75" s="297"/>
      <c r="H75" s="361"/>
      <c r="I75" s="362"/>
      <c r="J75" s="150"/>
      <c r="K75" s="297"/>
      <c r="L75" s="361"/>
      <c r="M75" s="362"/>
      <c r="N75" s="150"/>
      <c r="O75" s="297"/>
      <c r="P75" s="361"/>
      <c r="Q75" s="362"/>
      <c r="R75" s="150"/>
      <c r="S75" s="314"/>
      <c r="T75" s="296"/>
      <c r="U75" s="363"/>
      <c r="V75" s="150"/>
      <c r="W75" s="298"/>
    </row>
    <row r="76" spans="1:3" ht="13.5" customHeight="1">
      <c r="A76" s="72"/>
      <c r="B76" s="72"/>
      <c r="C76" s="72"/>
    </row>
  </sheetData>
  <sheetProtection/>
  <mergeCells count="8">
    <mergeCell ref="V42:V43"/>
    <mergeCell ref="W42:W43"/>
    <mergeCell ref="A4:C6"/>
    <mergeCell ref="E4:E5"/>
    <mergeCell ref="F4:F5"/>
    <mergeCell ref="A41:C43"/>
    <mergeCell ref="T42:T43"/>
    <mergeCell ref="U42:U43"/>
  </mergeCells>
  <printOptions/>
  <pageMargins left="0.75" right="0.32" top="1" bottom="1" header="0.512" footer="0.512"/>
  <pageSetup horizontalDpi="300" verticalDpi="300" orientation="landscape" paperSize="8" scale="44" r:id="rId1"/>
</worksheet>
</file>

<file path=xl/worksheets/sheet23.xml><?xml version="1.0" encoding="utf-8"?>
<worksheet xmlns="http://schemas.openxmlformats.org/spreadsheetml/2006/main" xmlns:r="http://schemas.openxmlformats.org/officeDocument/2006/relationships">
  <sheetPr codeName="Sheet23"/>
  <dimension ref="A2:AB76"/>
  <sheetViews>
    <sheetView zoomScalePageLayoutView="0" workbookViewId="0" topLeftCell="A1">
      <selection activeCell="A1" sqref="A1"/>
    </sheetView>
  </sheetViews>
  <sheetFormatPr defaultColWidth="9.00390625" defaultRowHeight="13.5"/>
  <cols>
    <col min="1" max="1" width="4.00390625" style="0" customWidth="1"/>
    <col min="2" max="2" width="13.875" style="0" customWidth="1"/>
    <col min="3" max="3" width="32.75390625" style="0" customWidth="1"/>
    <col min="4" max="4" width="17.25390625" style="0" customWidth="1"/>
    <col min="5" max="5" width="18.00390625" style="0" bestFit="1" customWidth="1"/>
    <col min="6" max="6" width="17.50390625" style="0" customWidth="1"/>
    <col min="7" max="7" width="12.75390625" style="0" customWidth="1"/>
    <col min="8" max="9" width="15.625" style="0" customWidth="1"/>
    <col min="10" max="10" width="16.25390625" style="0" customWidth="1"/>
    <col min="11" max="11" width="12.375" style="0" customWidth="1"/>
    <col min="12" max="13" width="15.625" style="0" customWidth="1"/>
    <col min="14" max="14" width="16.375" style="0" customWidth="1"/>
    <col min="15" max="15" width="11.375" style="0" customWidth="1"/>
    <col min="16" max="17" width="15.625" style="0" customWidth="1"/>
    <col min="18" max="18" width="17.25390625" style="0" customWidth="1"/>
    <col min="19" max="19" width="11.125" style="0" customWidth="1"/>
    <col min="20" max="21" width="15.50390625" style="0" customWidth="1"/>
    <col min="22" max="22" width="17.25390625" style="0" customWidth="1"/>
    <col min="23" max="23" width="12.25390625" style="0" customWidth="1"/>
    <col min="24" max="26" width="15.625" style="0" customWidth="1"/>
    <col min="27" max="27" width="11.75390625" style="0" customWidth="1"/>
  </cols>
  <sheetData>
    <row r="2" spans="2:26" ht="41.25">
      <c r="B2" s="63" t="s">
        <v>312</v>
      </c>
      <c r="L2" s="64"/>
      <c r="T2" s="64" t="s">
        <v>211</v>
      </c>
      <c r="Z2" s="185" t="s">
        <v>58</v>
      </c>
    </row>
    <row r="3" ht="13.5" thickBot="1"/>
    <row r="4" spans="1:27" s="65" customFormat="1" ht="24" customHeight="1">
      <c r="A4" s="1178" t="s">
        <v>165</v>
      </c>
      <c r="B4" s="1179"/>
      <c r="C4" s="1180"/>
      <c r="D4" s="66"/>
      <c r="E4" s="1201" t="s">
        <v>202</v>
      </c>
      <c r="F4" s="1201" t="s">
        <v>203</v>
      </c>
      <c r="G4" s="84"/>
      <c r="H4" s="85" t="s">
        <v>204</v>
      </c>
      <c r="I4" s="86"/>
      <c r="J4" s="86"/>
      <c r="K4" s="86"/>
      <c r="L4" s="85"/>
      <c r="M4" s="86"/>
      <c r="N4" s="86"/>
      <c r="O4" s="86"/>
      <c r="P4" s="87"/>
      <c r="Q4" s="86"/>
      <c r="R4" s="86"/>
      <c r="S4" s="86"/>
      <c r="T4" s="85"/>
      <c r="U4" s="86"/>
      <c r="V4" s="86"/>
      <c r="W4" s="86"/>
      <c r="X4" s="87"/>
      <c r="Y4" s="86"/>
      <c r="Z4" s="86"/>
      <c r="AA4" s="135"/>
    </row>
    <row r="5" spans="1:27" s="65" customFormat="1" ht="24" customHeight="1">
      <c r="A5" s="1181"/>
      <c r="B5" s="1182"/>
      <c r="C5" s="1183"/>
      <c r="D5" s="67"/>
      <c r="E5" s="1202"/>
      <c r="F5" s="1202"/>
      <c r="G5" s="88"/>
      <c r="H5" s="89" t="s">
        <v>248</v>
      </c>
      <c r="I5" s="90"/>
      <c r="J5" s="90"/>
      <c r="K5" s="90"/>
      <c r="L5" s="89" t="s">
        <v>168</v>
      </c>
      <c r="M5" s="90"/>
      <c r="N5" s="90"/>
      <c r="O5" s="90"/>
      <c r="P5" s="89" t="s">
        <v>205</v>
      </c>
      <c r="Q5" s="90"/>
      <c r="R5" s="90"/>
      <c r="S5" s="90"/>
      <c r="T5" s="89" t="s">
        <v>306</v>
      </c>
      <c r="U5" s="90"/>
      <c r="V5" s="90"/>
      <c r="W5" s="90"/>
      <c r="X5" s="89" t="s">
        <v>254</v>
      </c>
      <c r="Y5" s="90"/>
      <c r="Z5" s="90"/>
      <c r="AA5" s="136"/>
    </row>
    <row r="6" spans="1:27" s="65" customFormat="1" ht="24" customHeight="1">
      <c r="A6" s="1184"/>
      <c r="B6" s="1185"/>
      <c r="C6" s="1186"/>
      <c r="D6" s="71" t="s">
        <v>174</v>
      </c>
      <c r="E6" s="68" t="s">
        <v>170</v>
      </c>
      <c r="F6" s="68" t="s">
        <v>171</v>
      </c>
      <c r="G6" s="69" t="s">
        <v>172</v>
      </c>
      <c r="H6" s="71" t="s">
        <v>174</v>
      </c>
      <c r="I6" s="70" t="s">
        <v>170</v>
      </c>
      <c r="J6" s="68" t="s">
        <v>173</v>
      </c>
      <c r="K6" s="69" t="s">
        <v>172</v>
      </c>
      <c r="L6" s="71" t="s">
        <v>174</v>
      </c>
      <c r="M6" s="70" t="s">
        <v>170</v>
      </c>
      <c r="N6" s="68" t="s">
        <v>173</v>
      </c>
      <c r="O6" s="69" t="s">
        <v>172</v>
      </c>
      <c r="P6" s="71" t="s">
        <v>174</v>
      </c>
      <c r="Q6" s="70" t="s">
        <v>170</v>
      </c>
      <c r="R6" s="68" t="s">
        <v>173</v>
      </c>
      <c r="S6" s="69" t="s">
        <v>172</v>
      </c>
      <c r="T6" s="71" t="s">
        <v>174</v>
      </c>
      <c r="U6" s="70" t="s">
        <v>170</v>
      </c>
      <c r="V6" s="68" t="s">
        <v>173</v>
      </c>
      <c r="W6" s="69" t="s">
        <v>172</v>
      </c>
      <c r="X6" s="71" t="s">
        <v>174</v>
      </c>
      <c r="Y6" s="70" t="s">
        <v>170</v>
      </c>
      <c r="Z6" s="68" t="s">
        <v>173</v>
      </c>
      <c r="AA6" s="137" t="s">
        <v>172</v>
      </c>
    </row>
    <row r="7" spans="1:27" ht="23.25" customHeight="1">
      <c r="A7" s="126"/>
      <c r="B7" s="72"/>
      <c r="C7" s="73"/>
      <c r="D7" s="266"/>
      <c r="E7" s="267"/>
      <c r="F7" s="268"/>
      <c r="G7" s="269"/>
      <c r="H7" s="266"/>
      <c r="I7" s="270"/>
      <c r="J7" s="271"/>
      <c r="K7" s="272"/>
      <c r="L7" s="266"/>
      <c r="M7" s="267"/>
      <c r="N7" s="268"/>
      <c r="O7" s="269"/>
      <c r="P7" s="266"/>
      <c r="Q7" s="270"/>
      <c r="R7" s="271"/>
      <c r="S7" s="272"/>
      <c r="T7" s="266"/>
      <c r="U7" s="270"/>
      <c r="V7" s="271"/>
      <c r="W7" s="272"/>
      <c r="X7" s="267"/>
      <c r="Y7" s="267"/>
      <c r="Z7" s="268"/>
      <c r="AA7" s="273"/>
    </row>
    <row r="8" spans="1:27" s="74" customFormat="1" ht="23.25" customHeight="1">
      <c r="A8" s="131" t="s">
        <v>175</v>
      </c>
      <c r="B8" s="128"/>
      <c r="C8" s="75"/>
      <c r="D8" s="274">
        <f>D10+D25+D37</f>
        <v>142187073</v>
      </c>
      <c r="E8" s="275">
        <f>E10+E25+E37</f>
        <v>133910826</v>
      </c>
      <c r="F8" s="249">
        <f>E8-D8</f>
        <v>-8276247</v>
      </c>
      <c r="G8" s="276">
        <f>_xlfn.IFERROR(F8/D8*100,"")</f>
        <v>-5.820674710703131</v>
      </c>
      <c r="H8" s="274">
        <f>H10+H25+H37</f>
        <v>20706373</v>
      </c>
      <c r="I8" s="275">
        <f>I10+I25+I37</f>
        <v>21934188</v>
      </c>
      <c r="J8" s="249">
        <f>I8-H8</f>
        <v>1227815</v>
      </c>
      <c r="K8" s="276">
        <f>_xlfn.IFERROR(J8/H8*100,"")</f>
        <v>5.92964784320267</v>
      </c>
      <c r="L8" s="274">
        <f>L10+L25+L37</f>
        <v>55652652</v>
      </c>
      <c r="M8" s="275">
        <f>M10+M25+M37</f>
        <v>52128887</v>
      </c>
      <c r="N8" s="249">
        <f>M8-L8</f>
        <v>-3523765</v>
      </c>
      <c r="O8" s="276">
        <f>_xlfn.IFERROR(N8/L8*100,"")</f>
        <v>-6.331710841021557</v>
      </c>
      <c r="P8" s="274">
        <f>P10+P25+P37</f>
        <v>51943192</v>
      </c>
      <c r="Q8" s="275">
        <f>Q10+Q25+Q37</f>
        <v>52838213</v>
      </c>
      <c r="R8" s="249">
        <f>Q8-P8</f>
        <v>895021</v>
      </c>
      <c r="S8" s="276">
        <f>_xlfn.IFERROR(R8/P8*100,"")</f>
        <v>1.7230766257106418</v>
      </c>
      <c r="T8" s="274">
        <f>T10+T25+T37</f>
        <v>13838828</v>
      </c>
      <c r="U8" s="275">
        <f>U10+U25+U37</f>
        <v>6984550</v>
      </c>
      <c r="V8" s="249">
        <f>U8-T8</f>
        <v>-6854278</v>
      </c>
      <c r="W8" s="276">
        <f>_xlfn.IFERROR(V8/T8*100,"")</f>
        <v>-49.52932430405234</v>
      </c>
      <c r="X8" s="275">
        <f>X10+X25+X37</f>
        <v>18370</v>
      </c>
      <c r="Y8" s="275">
        <f>Y10+Y25+Y37</f>
        <v>800</v>
      </c>
      <c r="Z8" s="277">
        <f>Y8-X8</f>
        <v>-17570</v>
      </c>
      <c r="AA8" s="278">
        <f>_xlfn.IFERROR(Z8/X8*100,"")</f>
        <v>-95.64507348938487</v>
      </c>
    </row>
    <row r="9" spans="1:27" s="74" customFormat="1" ht="23.25" customHeight="1">
      <c r="A9" s="132"/>
      <c r="B9" s="129"/>
      <c r="C9" s="76"/>
      <c r="D9" s="279"/>
      <c r="E9" s="280"/>
      <c r="F9" s="292"/>
      <c r="G9" s="281"/>
      <c r="H9" s="279"/>
      <c r="I9" s="280"/>
      <c r="J9" s="149"/>
      <c r="K9" s="282"/>
      <c r="L9" s="279"/>
      <c r="M9" s="280"/>
      <c r="N9" s="251"/>
      <c r="O9" s="284"/>
      <c r="P9" s="279"/>
      <c r="Q9" s="280"/>
      <c r="R9" s="149"/>
      <c r="S9" s="282"/>
      <c r="T9" s="279"/>
      <c r="U9" s="280"/>
      <c r="V9" s="149"/>
      <c r="W9" s="282"/>
      <c r="X9" s="280"/>
      <c r="Y9" s="280"/>
      <c r="Z9" s="285"/>
      <c r="AA9" s="250"/>
    </row>
    <row r="10" spans="1:27" s="74" customFormat="1" ht="23.25" customHeight="1">
      <c r="A10" s="132"/>
      <c r="B10" s="128" t="s">
        <v>176</v>
      </c>
      <c r="C10" s="75" t="s">
        <v>135</v>
      </c>
      <c r="D10" s="274">
        <f>H10+L10+P10+T10+X10</f>
        <v>114542933</v>
      </c>
      <c r="E10" s="275">
        <f>SUM(E11:E23)</f>
        <v>110498387</v>
      </c>
      <c r="F10" s="249">
        <f>E10-D10</f>
        <v>-4044546</v>
      </c>
      <c r="G10" s="276">
        <f>_xlfn.IFERROR(F10/D10*100,"")</f>
        <v>-3.5310305874566703</v>
      </c>
      <c r="H10" s="274">
        <f>SUM(H11:H23)</f>
        <v>20283316</v>
      </c>
      <c r="I10" s="275">
        <f>SUM(I11:I23)</f>
        <v>21625448</v>
      </c>
      <c r="J10" s="249">
        <f>I10-H10</f>
        <v>1342132</v>
      </c>
      <c r="K10" s="276">
        <f aca="true" t="shared" si="0" ref="K10:K23">_xlfn.IFERROR(J10/H10*100,"")</f>
        <v>6.616925950372217</v>
      </c>
      <c r="L10" s="274">
        <f>SUM(L11:L23)</f>
        <v>55570109</v>
      </c>
      <c r="M10" s="275">
        <f>SUM(M11:M23)</f>
        <v>52017395</v>
      </c>
      <c r="N10" s="249">
        <f>M10-L10</f>
        <v>-3552714</v>
      </c>
      <c r="O10" s="276">
        <f aca="true" t="shared" si="1" ref="O10:O23">_xlfn.IFERROR(N10/L10*100,"")</f>
        <v>-6.393210421811481</v>
      </c>
      <c r="P10" s="274">
        <f>SUM(P11:P23)</f>
        <v>28807580</v>
      </c>
      <c r="Q10" s="275">
        <f>SUM(Q11:Q23)</f>
        <v>31217674</v>
      </c>
      <c r="R10" s="249">
        <f>Q10-P10</f>
        <v>2410094</v>
      </c>
      <c r="S10" s="276">
        <f aca="true" t="shared" si="2" ref="S10:S23">_xlfn.IFERROR(R10/P10*100,"")</f>
        <v>8.366180012343975</v>
      </c>
      <c r="T10" s="274">
        <f>SUM(T11:T23)</f>
        <v>9870528</v>
      </c>
      <c r="U10" s="275">
        <f>SUM(U11:U23)</f>
        <v>5637290</v>
      </c>
      <c r="V10" s="249">
        <f>U10-T10</f>
        <v>-4233238</v>
      </c>
      <c r="W10" s="276">
        <f>_xlfn.IFERROR(V10/T10*100,"")</f>
        <v>-42.88765504743009</v>
      </c>
      <c r="X10" s="275">
        <f>SUM(X11:X23)</f>
        <v>11400</v>
      </c>
      <c r="Y10" s="275">
        <f>SUM(Y11:Y23)</f>
        <v>580</v>
      </c>
      <c r="Z10" s="277">
        <f>Y10-X10</f>
        <v>-10820</v>
      </c>
      <c r="AA10" s="278">
        <f>_xlfn.IFERROR(Z10/X10*100,"")</f>
        <v>-94.91228070175438</v>
      </c>
    </row>
    <row r="11" spans="1:27" s="74" customFormat="1" ht="23.25" customHeight="1">
      <c r="A11" s="132"/>
      <c r="B11" s="129"/>
      <c r="C11" s="76" t="s">
        <v>177</v>
      </c>
      <c r="D11" s="286">
        <f aca="true" t="shared" si="3" ref="D11:E21">H11+L11+P11+T11+X11</f>
        <v>2049404</v>
      </c>
      <c r="E11" s="287">
        <f>I11+M11+Q11+U11+Y11</f>
        <v>1644298</v>
      </c>
      <c r="F11" s="292">
        <f aca="true" t="shared" si="4" ref="F11:F21">E11-D11</f>
        <v>-405106</v>
      </c>
      <c r="G11" s="282">
        <f aca="true" t="shared" si="5" ref="G11:G23">_xlfn.IFERROR(F11/D11*100,"")</f>
        <v>-19.767015190757895</v>
      </c>
      <c r="H11" s="288">
        <v>60106</v>
      </c>
      <c r="I11" s="289">
        <v>3881</v>
      </c>
      <c r="J11" s="149">
        <f aca="true" t="shared" si="6" ref="J11:J21">I11-H11</f>
        <v>-56225</v>
      </c>
      <c r="K11" s="282">
        <f t="shared" si="0"/>
        <v>-93.54307390277177</v>
      </c>
      <c r="L11" s="290">
        <v>1893</v>
      </c>
      <c r="M11" s="291">
        <v>8373</v>
      </c>
      <c r="N11" s="149">
        <f aca="true" t="shared" si="7" ref="N11:N21">M11-L11</f>
        <v>6480</v>
      </c>
      <c r="O11" s="282">
        <f t="shared" si="1"/>
        <v>342.31378763866877</v>
      </c>
      <c r="P11" s="290">
        <v>1834740</v>
      </c>
      <c r="Q11" s="291">
        <v>1569344</v>
      </c>
      <c r="R11" s="149">
        <f aca="true" t="shared" si="8" ref="R11:R21">Q11-P11</f>
        <v>-265396</v>
      </c>
      <c r="S11" s="282">
        <f t="shared" si="2"/>
        <v>-14.4650468186228</v>
      </c>
      <c r="T11" s="290">
        <v>152665</v>
      </c>
      <c r="U11" s="291">
        <v>62700</v>
      </c>
      <c r="V11" s="149">
        <f aca="true" t="shared" si="9" ref="V11:V21">U11-T11</f>
        <v>-89965</v>
      </c>
      <c r="W11" s="282">
        <f aca="true" t="shared" si="10" ref="W11:W23">_xlfn.IFERROR(V11/T11*100,"")</f>
        <v>-58.92968263845675</v>
      </c>
      <c r="X11" s="291">
        <v>0</v>
      </c>
      <c r="Y11" s="291">
        <v>0</v>
      </c>
      <c r="Z11" s="285">
        <f aca="true" t="shared" si="11" ref="Z11:Z21">Y11-X11</f>
        <v>0</v>
      </c>
      <c r="AA11" s="250">
        <f aca="true" t="shared" si="12" ref="AA11:AA23">_xlfn.IFERROR(Z11/X11*100,"")</f>
      </c>
    </row>
    <row r="12" spans="1:27" s="74" customFormat="1" ht="23.25" customHeight="1">
      <c r="A12" s="132"/>
      <c r="B12" s="129"/>
      <c r="C12" s="76" t="s">
        <v>178</v>
      </c>
      <c r="D12" s="286">
        <f t="shared" si="3"/>
        <v>70152070</v>
      </c>
      <c r="E12" s="287">
        <f t="shared" si="3"/>
        <v>68862366</v>
      </c>
      <c r="F12" s="292">
        <f t="shared" si="4"/>
        <v>-1289704</v>
      </c>
      <c r="G12" s="282">
        <f t="shared" si="5"/>
        <v>-1.8384404052510497</v>
      </c>
      <c r="H12" s="288">
        <v>12558668</v>
      </c>
      <c r="I12" s="289">
        <v>13683061</v>
      </c>
      <c r="J12" s="149">
        <f>I12-H12</f>
        <v>1124393</v>
      </c>
      <c r="K12" s="282">
        <f t="shared" si="0"/>
        <v>8.953123054132812</v>
      </c>
      <c r="L12" s="290">
        <v>34597865</v>
      </c>
      <c r="M12" s="291">
        <v>32905437</v>
      </c>
      <c r="N12" s="149">
        <f t="shared" si="7"/>
        <v>-1692428</v>
      </c>
      <c r="O12" s="282">
        <f t="shared" si="1"/>
        <v>-4.891712248718237</v>
      </c>
      <c r="P12" s="290">
        <v>16987599</v>
      </c>
      <c r="Q12" s="291">
        <v>18842796</v>
      </c>
      <c r="R12" s="149">
        <f t="shared" si="8"/>
        <v>1855197</v>
      </c>
      <c r="S12" s="282">
        <f t="shared" si="2"/>
        <v>10.920889997462266</v>
      </c>
      <c r="T12" s="290">
        <v>6001538</v>
      </c>
      <c r="U12" s="291">
        <v>3430742</v>
      </c>
      <c r="V12" s="149">
        <f t="shared" si="9"/>
        <v>-2570796</v>
      </c>
      <c r="W12" s="282">
        <f t="shared" si="10"/>
        <v>-42.83561980279055</v>
      </c>
      <c r="X12" s="291">
        <v>6400</v>
      </c>
      <c r="Y12" s="291">
        <v>330</v>
      </c>
      <c r="Z12" s="285">
        <f t="shared" si="11"/>
        <v>-6070</v>
      </c>
      <c r="AA12" s="250">
        <f t="shared" si="12"/>
        <v>-94.84375</v>
      </c>
    </row>
    <row r="13" spans="1:27" s="74" customFormat="1" ht="23.25" customHeight="1">
      <c r="A13" s="132"/>
      <c r="B13" s="129"/>
      <c r="C13" s="76" t="s">
        <v>179</v>
      </c>
      <c r="D13" s="286">
        <f t="shared" si="3"/>
        <v>41626416</v>
      </c>
      <c r="E13" s="287">
        <f t="shared" si="3"/>
        <v>38922117</v>
      </c>
      <c r="F13" s="292">
        <f t="shared" si="4"/>
        <v>-2704299</v>
      </c>
      <c r="G13" s="282">
        <f t="shared" si="5"/>
        <v>-6.496593413182629</v>
      </c>
      <c r="H13" s="288">
        <v>7660427</v>
      </c>
      <c r="I13" s="289">
        <v>7908569</v>
      </c>
      <c r="J13" s="149">
        <f>I13-H13</f>
        <v>248142</v>
      </c>
      <c r="K13" s="282">
        <f t="shared" si="0"/>
        <v>3.2392711267922794</v>
      </c>
      <c r="L13" s="290">
        <v>20968758</v>
      </c>
      <c r="M13" s="291">
        <v>19050821</v>
      </c>
      <c r="N13" s="149">
        <f t="shared" si="7"/>
        <v>-1917937</v>
      </c>
      <c r="O13" s="282">
        <f t="shared" si="1"/>
        <v>-9.146640921698843</v>
      </c>
      <c r="P13" s="290">
        <v>9297571</v>
      </c>
      <c r="Q13" s="291">
        <v>9957929</v>
      </c>
      <c r="R13" s="149">
        <f t="shared" si="8"/>
        <v>660358</v>
      </c>
      <c r="S13" s="282">
        <f t="shared" si="2"/>
        <v>7.102478701157539</v>
      </c>
      <c r="T13" s="290">
        <v>3694660</v>
      </c>
      <c r="U13" s="291">
        <v>2004548</v>
      </c>
      <c r="V13" s="149">
        <f t="shared" si="9"/>
        <v>-1690112</v>
      </c>
      <c r="W13" s="282">
        <f t="shared" si="10"/>
        <v>-45.74472346575869</v>
      </c>
      <c r="X13" s="291">
        <v>5000</v>
      </c>
      <c r="Y13" s="291">
        <v>250</v>
      </c>
      <c r="Z13" s="285">
        <f t="shared" si="11"/>
        <v>-4750</v>
      </c>
      <c r="AA13" s="250">
        <f t="shared" si="12"/>
        <v>-95</v>
      </c>
    </row>
    <row r="14" spans="1:27" s="74" customFormat="1" ht="23.25" customHeight="1">
      <c r="A14" s="132"/>
      <c r="B14" s="129"/>
      <c r="C14" s="76" t="s">
        <v>245</v>
      </c>
      <c r="D14" s="286">
        <f t="shared" si="3"/>
        <v>0</v>
      </c>
      <c r="E14" s="287">
        <f t="shared" si="3"/>
        <v>0</v>
      </c>
      <c r="F14" s="292">
        <f t="shared" si="4"/>
        <v>0</v>
      </c>
      <c r="G14" s="282">
        <f t="shared" si="5"/>
      </c>
      <c r="H14" s="288">
        <v>0</v>
      </c>
      <c r="I14" s="289">
        <v>0</v>
      </c>
      <c r="J14" s="149">
        <f t="shared" si="6"/>
        <v>0</v>
      </c>
      <c r="K14" s="282">
        <f t="shared" si="0"/>
      </c>
      <c r="L14" s="290">
        <v>0</v>
      </c>
      <c r="M14" s="291">
        <v>0</v>
      </c>
      <c r="N14" s="149">
        <f t="shared" si="7"/>
        <v>0</v>
      </c>
      <c r="O14" s="282">
        <f t="shared" si="1"/>
      </c>
      <c r="P14" s="290">
        <v>0</v>
      </c>
      <c r="Q14" s="291">
        <v>0</v>
      </c>
      <c r="R14" s="149">
        <f t="shared" si="8"/>
        <v>0</v>
      </c>
      <c r="S14" s="282">
        <f t="shared" si="2"/>
      </c>
      <c r="T14" s="290">
        <v>0</v>
      </c>
      <c r="U14" s="291">
        <v>0</v>
      </c>
      <c r="V14" s="149">
        <f t="shared" si="9"/>
        <v>0</v>
      </c>
      <c r="W14" s="282">
        <f t="shared" si="10"/>
      </c>
      <c r="X14" s="291">
        <v>0</v>
      </c>
      <c r="Y14" s="291">
        <v>0</v>
      </c>
      <c r="Z14" s="285">
        <f t="shared" si="11"/>
        <v>0</v>
      </c>
      <c r="AA14" s="250">
        <f t="shared" si="12"/>
      </c>
    </row>
    <row r="15" spans="1:27" s="74" customFormat="1" ht="23.25" customHeight="1">
      <c r="A15" s="132"/>
      <c r="B15" s="129"/>
      <c r="C15" s="76" t="s">
        <v>180</v>
      </c>
      <c r="D15" s="286">
        <f t="shared" si="3"/>
        <v>0</v>
      </c>
      <c r="E15" s="287">
        <f t="shared" si="3"/>
        <v>0</v>
      </c>
      <c r="F15" s="292">
        <f t="shared" si="4"/>
        <v>0</v>
      </c>
      <c r="G15" s="282">
        <f t="shared" si="5"/>
      </c>
      <c r="H15" s="288">
        <v>0</v>
      </c>
      <c r="I15" s="289">
        <v>0</v>
      </c>
      <c r="J15" s="149">
        <f t="shared" si="6"/>
        <v>0</v>
      </c>
      <c r="K15" s="282">
        <f t="shared" si="0"/>
      </c>
      <c r="L15" s="290">
        <v>0</v>
      </c>
      <c r="M15" s="291">
        <v>0</v>
      </c>
      <c r="N15" s="149">
        <f t="shared" si="7"/>
        <v>0</v>
      </c>
      <c r="O15" s="282">
        <f t="shared" si="1"/>
      </c>
      <c r="P15" s="290">
        <v>0</v>
      </c>
      <c r="Q15" s="291">
        <v>0</v>
      </c>
      <c r="R15" s="149">
        <f t="shared" si="8"/>
        <v>0</v>
      </c>
      <c r="S15" s="282">
        <f t="shared" si="2"/>
      </c>
      <c r="T15" s="290">
        <v>0</v>
      </c>
      <c r="U15" s="291">
        <v>0</v>
      </c>
      <c r="V15" s="149">
        <f t="shared" si="9"/>
        <v>0</v>
      </c>
      <c r="W15" s="282">
        <f t="shared" si="10"/>
      </c>
      <c r="X15" s="291">
        <v>0</v>
      </c>
      <c r="Y15" s="291">
        <v>0</v>
      </c>
      <c r="Z15" s="285">
        <f t="shared" si="11"/>
        <v>0</v>
      </c>
      <c r="AA15" s="250">
        <f t="shared" si="12"/>
      </c>
    </row>
    <row r="16" spans="1:27" s="74" customFormat="1" ht="23.25" customHeight="1">
      <c r="A16" s="132"/>
      <c r="B16" s="129"/>
      <c r="C16" s="76" t="s">
        <v>181</v>
      </c>
      <c r="D16" s="286">
        <f t="shared" si="3"/>
        <v>0</v>
      </c>
      <c r="E16" s="287">
        <f t="shared" si="3"/>
        <v>0</v>
      </c>
      <c r="F16" s="292">
        <f t="shared" si="4"/>
        <v>0</v>
      </c>
      <c r="G16" s="282">
        <f t="shared" si="5"/>
      </c>
      <c r="H16" s="288">
        <v>0</v>
      </c>
      <c r="I16" s="289">
        <v>0</v>
      </c>
      <c r="J16" s="149">
        <f t="shared" si="6"/>
        <v>0</v>
      </c>
      <c r="K16" s="282">
        <f t="shared" si="0"/>
      </c>
      <c r="L16" s="290">
        <v>0</v>
      </c>
      <c r="M16" s="291">
        <v>0</v>
      </c>
      <c r="N16" s="149">
        <f t="shared" si="7"/>
        <v>0</v>
      </c>
      <c r="O16" s="282">
        <f t="shared" si="1"/>
      </c>
      <c r="P16" s="290">
        <v>0</v>
      </c>
      <c r="Q16" s="291">
        <v>0</v>
      </c>
      <c r="R16" s="149">
        <f t="shared" si="8"/>
        <v>0</v>
      </c>
      <c r="S16" s="282">
        <f t="shared" si="2"/>
      </c>
      <c r="T16" s="290">
        <v>0</v>
      </c>
      <c r="U16" s="291">
        <v>0</v>
      </c>
      <c r="V16" s="149">
        <f t="shared" si="9"/>
        <v>0</v>
      </c>
      <c r="W16" s="282">
        <f t="shared" si="10"/>
      </c>
      <c r="X16" s="291">
        <v>0</v>
      </c>
      <c r="Y16" s="291">
        <v>0</v>
      </c>
      <c r="Z16" s="285">
        <f t="shared" si="11"/>
        <v>0</v>
      </c>
      <c r="AA16" s="250">
        <f t="shared" si="12"/>
      </c>
    </row>
    <row r="17" spans="1:27" s="74" customFormat="1" ht="23.25" customHeight="1">
      <c r="A17" s="132"/>
      <c r="B17" s="129"/>
      <c r="C17" s="76" t="s">
        <v>182</v>
      </c>
      <c r="D17" s="286">
        <f t="shared" si="3"/>
        <v>0</v>
      </c>
      <c r="E17" s="287">
        <f t="shared" si="3"/>
        <v>0</v>
      </c>
      <c r="F17" s="292">
        <f t="shared" si="4"/>
        <v>0</v>
      </c>
      <c r="G17" s="282">
        <f t="shared" si="5"/>
      </c>
      <c r="H17" s="288">
        <v>0</v>
      </c>
      <c r="I17" s="289">
        <v>0</v>
      </c>
      <c r="J17" s="149">
        <f t="shared" si="6"/>
        <v>0</v>
      </c>
      <c r="K17" s="282">
        <f t="shared" si="0"/>
      </c>
      <c r="L17" s="290">
        <v>0</v>
      </c>
      <c r="M17" s="291">
        <v>0</v>
      </c>
      <c r="N17" s="149">
        <f t="shared" si="7"/>
        <v>0</v>
      </c>
      <c r="O17" s="282">
        <f t="shared" si="1"/>
      </c>
      <c r="P17" s="290">
        <v>0</v>
      </c>
      <c r="Q17" s="291">
        <v>0</v>
      </c>
      <c r="R17" s="149">
        <f t="shared" si="8"/>
        <v>0</v>
      </c>
      <c r="S17" s="282">
        <f t="shared" si="2"/>
      </c>
      <c r="T17" s="290">
        <v>0</v>
      </c>
      <c r="U17" s="291">
        <v>0</v>
      </c>
      <c r="V17" s="149">
        <f t="shared" si="9"/>
        <v>0</v>
      </c>
      <c r="W17" s="282">
        <f t="shared" si="10"/>
      </c>
      <c r="X17" s="291">
        <v>0</v>
      </c>
      <c r="Y17" s="291">
        <v>0</v>
      </c>
      <c r="Z17" s="285">
        <f t="shared" si="11"/>
        <v>0</v>
      </c>
      <c r="AA17" s="250">
        <f t="shared" si="12"/>
      </c>
    </row>
    <row r="18" spans="1:27" s="74" customFormat="1" ht="23.25" customHeight="1">
      <c r="A18" s="132"/>
      <c r="B18" s="129"/>
      <c r="C18" s="76" t="s">
        <v>38</v>
      </c>
      <c r="D18" s="286">
        <f t="shared" si="3"/>
        <v>0</v>
      </c>
      <c r="E18" s="287">
        <f t="shared" si="3"/>
        <v>0</v>
      </c>
      <c r="F18" s="292">
        <f t="shared" si="4"/>
        <v>0</v>
      </c>
      <c r="G18" s="282">
        <f t="shared" si="5"/>
      </c>
      <c r="H18" s="288">
        <v>0</v>
      </c>
      <c r="I18" s="289">
        <v>0</v>
      </c>
      <c r="J18" s="149">
        <f t="shared" si="6"/>
        <v>0</v>
      </c>
      <c r="K18" s="282">
        <f t="shared" si="0"/>
      </c>
      <c r="L18" s="290">
        <v>0</v>
      </c>
      <c r="M18" s="291">
        <v>0</v>
      </c>
      <c r="N18" s="149">
        <f t="shared" si="7"/>
        <v>0</v>
      </c>
      <c r="O18" s="282">
        <f t="shared" si="1"/>
      </c>
      <c r="P18" s="290">
        <v>0</v>
      </c>
      <c r="Q18" s="291">
        <v>0</v>
      </c>
      <c r="R18" s="149">
        <f t="shared" si="8"/>
        <v>0</v>
      </c>
      <c r="S18" s="282">
        <f t="shared" si="2"/>
      </c>
      <c r="T18" s="290">
        <v>0</v>
      </c>
      <c r="U18" s="291">
        <v>0</v>
      </c>
      <c r="V18" s="149">
        <f t="shared" si="9"/>
        <v>0</v>
      </c>
      <c r="W18" s="282">
        <f t="shared" si="10"/>
      </c>
      <c r="X18" s="291">
        <v>0</v>
      </c>
      <c r="Y18" s="291">
        <v>0</v>
      </c>
      <c r="Z18" s="285">
        <f t="shared" si="11"/>
        <v>0</v>
      </c>
      <c r="AA18" s="250">
        <f t="shared" si="12"/>
      </c>
    </row>
    <row r="19" spans="1:27" s="74" customFormat="1" ht="23.25" customHeight="1">
      <c r="A19" s="132"/>
      <c r="B19" s="129"/>
      <c r="C19" s="76" t="s">
        <v>183</v>
      </c>
      <c r="D19" s="286">
        <f t="shared" si="3"/>
        <v>0</v>
      </c>
      <c r="E19" s="287">
        <f t="shared" si="3"/>
        <v>0</v>
      </c>
      <c r="F19" s="292">
        <f t="shared" si="4"/>
        <v>0</v>
      </c>
      <c r="G19" s="282">
        <f t="shared" si="5"/>
      </c>
      <c r="H19" s="288">
        <v>0</v>
      </c>
      <c r="I19" s="289">
        <v>0</v>
      </c>
      <c r="J19" s="149">
        <f t="shared" si="6"/>
        <v>0</v>
      </c>
      <c r="K19" s="282">
        <f t="shared" si="0"/>
      </c>
      <c r="L19" s="290">
        <v>0</v>
      </c>
      <c r="M19" s="291">
        <v>0</v>
      </c>
      <c r="N19" s="149">
        <f t="shared" si="7"/>
        <v>0</v>
      </c>
      <c r="O19" s="282">
        <f t="shared" si="1"/>
      </c>
      <c r="P19" s="290">
        <v>0</v>
      </c>
      <c r="Q19" s="291">
        <v>0</v>
      </c>
      <c r="R19" s="149">
        <f t="shared" si="8"/>
        <v>0</v>
      </c>
      <c r="S19" s="282">
        <f t="shared" si="2"/>
      </c>
      <c r="T19" s="290">
        <v>0</v>
      </c>
      <c r="U19" s="291">
        <v>0</v>
      </c>
      <c r="V19" s="149">
        <f t="shared" si="9"/>
        <v>0</v>
      </c>
      <c r="W19" s="282">
        <f t="shared" si="10"/>
      </c>
      <c r="X19" s="291">
        <v>0</v>
      </c>
      <c r="Y19" s="291">
        <v>0</v>
      </c>
      <c r="Z19" s="285">
        <f t="shared" si="11"/>
        <v>0</v>
      </c>
      <c r="AA19" s="250">
        <f t="shared" si="12"/>
      </c>
    </row>
    <row r="20" spans="1:27" s="74" customFormat="1" ht="23.25" customHeight="1">
      <c r="A20" s="132"/>
      <c r="B20" s="129"/>
      <c r="C20" s="76" t="s">
        <v>184</v>
      </c>
      <c r="D20" s="286">
        <f t="shared" si="3"/>
        <v>0</v>
      </c>
      <c r="E20" s="287">
        <f t="shared" si="3"/>
        <v>0</v>
      </c>
      <c r="F20" s="292">
        <f t="shared" si="4"/>
        <v>0</v>
      </c>
      <c r="G20" s="282">
        <f t="shared" si="5"/>
      </c>
      <c r="H20" s="288">
        <v>0</v>
      </c>
      <c r="I20" s="289">
        <v>0</v>
      </c>
      <c r="J20" s="149">
        <f t="shared" si="6"/>
        <v>0</v>
      </c>
      <c r="K20" s="282">
        <f t="shared" si="0"/>
      </c>
      <c r="L20" s="290">
        <v>0</v>
      </c>
      <c r="M20" s="291">
        <v>0</v>
      </c>
      <c r="N20" s="149">
        <f t="shared" si="7"/>
        <v>0</v>
      </c>
      <c r="O20" s="282">
        <f t="shared" si="1"/>
      </c>
      <c r="P20" s="290">
        <v>0</v>
      </c>
      <c r="Q20" s="291">
        <v>0</v>
      </c>
      <c r="R20" s="149">
        <f t="shared" si="8"/>
        <v>0</v>
      </c>
      <c r="S20" s="282">
        <f t="shared" si="2"/>
      </c>
      <c r="T20" s="290">
        <v>0</v>
      </c>
      <c r="U20" s="291">
        <v>0</v>
      </c>
      <c r="V20" s="149">
        <f t="shared" si="9"/>
        <v>0</v>
      </c>
      <c r="W20" s="282">
        <f t="shared" si="10"/>
      </c>
      <c r="X20" s="291">
        <v>0</v>
      </c>
      <c r="Y20" s="291">
        <v>0</v>
      </c>
      <c r="Z20" s="285">
        <f t="shared" si="11"/>
        <v>0</v>
      </c>
      <c r="AA20" s="250">
        <f t="shared" si="12"/>
      </c>
    </row>
    <row r="21" spans="1:27" s="74" customFormat="1" ht="23.25" customHeight="1">
      <c r="A21" s="132"/>
      <c r="B21" s="129"/>
      <c r="C21" s="76" t="s">
        <v>185</v>
      </c>
      <c r="D21" s="286">
        <f t="shared" si="3"/>
        <v>0</v>
      </c>
      <c r="E21" s="287">
        <f t="shared" si="3"/>
        <v>0</v>
      </c>
      <c r="F21" s="292">
        <f t="shared" si="4"/>
        <v>0</v>
      </c>
      <c r="G21" s="282">
        <f t="shared" si="5"/>
      </c>
      <c r="H21" s="288">
        <v>0</v>
      </c>
      <c r="I21" s="289">
        <v>0</v>
      </c>
      <c r="J21" s="149">
        <f t="shared" si="6"/>
        <v>0</v>
      </c>
      <c r="K21" s="282">
        <f t="shared" si="0"/>
      </c>
      <c r="L21" s="290">
        <v>0</v>
      </c>
      <c r="M21" s="291">
        <v>0</v>
      </c>
      <c r="N21" s="149">
        <f t="shared" si="7"/>
        <v>0</v>
      </c>
      <c r="O21" s="282">
        <f t="shared" si="1"/>
      </c>
      <c r="P21" s="290">
        <v>0</v>
      </c>
      <c r="Q21" s="291">
        <v>0</v>
      </c>
      <c r="R21" s="149">
        <f t="shared" si="8"/>
        <v>0</v>
      </c>
      <c r="S21" s="282">
        <f t="shared" si="2"/>
      </c>
      <c r="T21" s="290">
        <v>0</v>
      </c>
      <c r="U21" s="291">
        <v>0</v>
      </c>
      <c r="V21" s="149">
        <f t="shared" si="9"/>
        <v>0</v>
      </c>
      <c r="W21" s="282">
        <f t="shared" si="10"/>
      </c>
      <c r="X21" s="291">
        <v>0</v>
      </c>
      <c r="Y21" s="291">
        <v>0</v>
      </c>
      <c r="Z21" s="285">
        <f t="shared" si="11"/>
        <v>0</v>
      </c>
      <c r="AA21" s="250">
        <f t="shared" si="12"/>
      </c>
    </row>
    <row r="22" spans="1:27" s="74" customFormat="1" ht="23.25" customHeight="1">
      <c r="A22" s="132"/>
      <c r="B22" s="129"/>
      <c r="C22" s="76" t="s">
        <v>320</v>
      </c>
      <c r="D22" s="286">
        <f>H22+L22+P22+T22+X22</f>
        <v>715043</v>
      </c>
      <c r="E22" s="287">
        <f>I22+M22+Q22+U22+Y22</f>
        <v>1069606</v>
      </c>
      <c r="F22" s="292">
        <f>E22-D22</f>
        <v>354563</v>
      </c>
      <c r="G22" s="282">
        <f t="shared" si="5"/>
        <v>49.586248659171545</v>
      </c>
      <c r="H22" s="288">
        <v>4115</v>
      </c>
      <c r="I22" s="289">
        <v>29937</v>
      </c>
      <c r="J22" s="149">
        <f>I22-H22</f>
        <v>25822</v>
      </c>
      <c r="K22" s="282">
        <f t="shared" si="0"/>
        <v>627.5091130012152</v>
      </c>
      <c r="L22" s="290">
        <v>1593</v>
      </c>
      <c r="M22" s="291">
        <v>52764</v>
      </c>
      <c r="N22" s="149">
        <f>M22-L22</f>
        <v>51171</v>
      </c>
      <c r="O22" s="282">
        <f t="shared" si="1"/>
        <v>3212.241054613936</v>
      </c>
      <c r="P22" s="290">
        <v>687670</v>
      </c>
      <c r="Q22" s="291">
        <v>847605</v>
      </c>
      <c r="R22" s="149">
        <f>Q22-P22</f>
        <v>159935</v>
      </c>
      <c r="S22" s="282">
        <f t="shared" si="2"/>
        <v>23.257521776433464</v>
      </c>
      <c r="T22" s="290">
        <v>21665</v>
      </c>
      <c r="U22" s="291">
        <v>139300</v>
      </c>
      <c r="V22" s="149">
        <f>U22-T22</f>
        <v>117635</v>
      </c>
      <c r="W22" s="282">
        <f t="shared" si="10"/>
        <v>542.9725363489499</v>
      </c>
      <c r="X22" s="291">
        <v>0</v>
      </c>
      <c r="Y22" s="291">
        <v>0</v>
      </c>
      <c r="Z22" s="285">
        <f>Y22-X22</f>
        <v>0</v>
      </c>
      <c r="AA22" s="250">
        <f t="shared" si="12"/>
      </c>
    </row>
    <row r="23" spans="1:27" s="74" customFormat="1" ht="23.25" customHeight="1">
      <c r="A23" s="132"/>
      <c r="B23" s="129"/>
      <c r="C23" s="76" t="s">
        <v>319</v>
      </c>
      <c r="D23" s="286">
        <f>H23+L23+P23+T23+X23</f>
        <v>0</v>
      </c>
      <c r="E23" s="287">
        <f>I23+M23+Q23+U23+Y23</f>
        <v>0</v>
      </c>
      <c r="F23" s="292">
        <f>E23-D23</f>
        <v>0</v>
      </c>
      <c r="G23" s="282">
        <f t="shared" si="5"/>
      </c>
      <c r="H23" s="288">
        <v>0</v>
      </c>
      <c r="I23" s="289">
        <v>0</v>
      </c>
      <c r="J23" s="149">
        <f>I23-H23</f>
        <v>0</v>
      </c>
      <c r="K23" s="282">
        <f t="shared" si="0"/>
      </c>
      <c r="L23" s="290"/>
      <c r="M23" s="291"/>
      <c r="N23" s="149">
        <f>M23-L23</f>
        <v>0</v>
      </c>
      <c r="O23" s="282">
        <f t="shared" si="1"/>
      </c>
      <c r="P23" s="290"/>
      <c r="Q23" s="291"/>
      <c r="R23" s="149">
        <f>Q23-P23</f>
        <v>0</v>
      </c>
      <c r="S23" s="282">
        <f t="shared" si="2"/>
      </c>
      <c r="T23" s="290"/>
      <c r="U23" s="291"/>
      <c r="V23" s="149">
        <f>U23-T23</f>
        <v>0</v>
      </c>
      <c r="W23" s="282">
        <f t="shared" si="10"/>
      </c>
      <c r="X23" s="291"/>
      <c r="Y23" s="291"/>
      <c r="Z23" s="285">
        <f>Y23-X23</f>
        <v>0</v>
      </c>
      <c r="AA23" s="250">
        <f t="shared" si="12"/>
      </c>
    </row>
    <row r="24" spans="1:27" s="74" customFormat="1" ht="23.25" customHeight="1">
      <c r="A24" s="132"/>
      <c r="B24" s="129"/>
      <c r="C24" s="76"/>
      <c r="D24" s="279"/>
      <c r="E24" s="280"/>
      <c r="F24" s="292"/>
      <c r="G24" s="281" t="s">
        <v>274</v>
      </c>
      <c r="H24" s="279"/>
      <c r="I24" s="280"/>
      <c r="J24" s="149"/>
      <c r="K24" s="282"/>
      <c r="L24" s="279"/>
      <c r="M24" s="280"/>
      <c r="N24" s="251"/>
      <c r="O24" s="282"/>
      <c r="P24" s="279"/>
      <c r="Q24" s="280"/>
      <c r="R24" s="149"/>
      <c r="S24" s="282"/>
      <c r="T24" s="279"/>
      <c r="U24" s="280"/>
      <c r="V24" s="149"/>
      <c r="W24" s="282"/>
      <c r="X24" s="280"/>
      <c r="Y24" s="280"/>
      <c r="Z24" s="285"/>
      <c r="AA24" s="250"/>
    </row>
    <row r="25" spans="1:27" s="74" customFormat="1" ht="23.25" customHeight="1">
      <c r="A25" s="132"/>
      <c r="B25" s="128" t="s">
        <v>272</v>
      </c>
      <c r="C25" s="75" t="s">
        <v>135</v>
      </c>
      <c r="D25" s="274">
        <f>SUM(D26:D35)</f>
        <v>20128818</v>
      </c>
      <c r="E25" s="275">
        <f>SUM(E26:E35)</f>
        <v>15700996</v>
      </c>
      <c r="F25" s="249">
        <f aca="true" t="shared" si="13" ref="F25:F37">E25-D25</f>
        <v>-4427822</v>
      </c>
      <c r="G25" s="276">
        <f>_xlfn.IFERROR(F25/D25*100,"")</f>
        <v>-21.99742677389204</v>
      </c>
      <c r="H25" s="274">
        <f>SUM(H26:H35)</f>
        <v>420428</v>
      </c>
      <c r="I25" s="275">
        <f>SUM(I26:I35)</f>
        <v>269769</v>
      </c>
      <c r="J25" s="249">
        <f aca="true" t="shared" si="14" ref="J25:J35">I25-H25</f>
        <v>-150659</v>
      </c>
      <c r="K25" s="276">
        <f>_xlfn.IFERROR(J25/H25*100,"")</f>
        <v>-35.8346732377482</v>
      </c>
      <c r="L25" s="274">
        <f>SUM(L26:L35)</f>
        <v>69702</v>
      </c>
      <c r="M25" s="275">
        <f>SUM(M26:M35)</f>
        <v>72933</v>
      </c>
      <c r="N25" s="249">
        <f>M25-L25</f>
        <v>3231</v>
      </c>
      <c r="O25" s="276">
        <f>_xlfn.IFERROR(N25/L25*100,"")</f>
        <v>4.635448050271155</v>
      </c>
      <c r="P25" s="274">
        <f>SUM(P26:P35)</f>
        <v>15895260</v>
      </c>
      <c r="Q25" s="275">
        <f>SUM(Q26:Q35)</f>
        <v>14114626</v>
      </c>
      <c r="R25" s="249">
        <f aca="true" t="shared" si="15" ref="R25:R35">Q25-P25</f>
        <v>-1780634</v>
      </c>
      <c r="S25" s="276">
        <f>_xlfn.IFERROR(R25/P25*100,"")</f>
        <v>-11.20229552709424</v>
      </c>
      <c r="T25" s="274">
        <f>SUM(T26:T35)</f>
        <v>3708800</v>
      </c>
      <c r="U25" s="275">
        <f>SUM(U26:U35)</f>
        <v>1219360</v>
      </c>
      <c r="V25" s="249">
        <f>U25-T25</f>
        <v>-2489440</v>
      </c>
      <c r="W25" s="276">
        <f>_xlfn.IFERROR(V25/T25*100,"")</f>
        <v>-67.12251941328732</v>
      </c>
      <c r="X25" s="275">
        <f>SUM(X26:X35)</f>
        <v>6970</v>
      </c>
      <c r="Y25" s="275">
        <f>SUM(Y26:Y35)</f>
        <v>120</v>
      </c>
      <c r="Z25" s="277">
        <f aca="true" t="shared" si="16" ref="Z25:Z35">Y25-X25</f>
        <v>-6850</v>
      </c>
      <c r="AA25" s="278">
        <f>_xlfn.IFERROR(Z25/X25*100,"")</f>
        <v>-98.27833572453372</v>
      </c>
    </row>
    <row r="26" spans="1:27" s="74" customFormat="1" ht="23.25" customHeight="1">
      <c r="A26" s="132"/>
      <c r="B26" s="129"/>
      <c r="C26" s="76" t="s">
        <v>187</v>
      </c>
      <c r="D26" s="286">
        <f aca="true" t="shared" si="17" ref="D26:D35">H26+L26+P26+T26+X26+D63</f>
        <v>6616333</v>
      </c>
      <c r="E26" s="287">
        <f>I26+M26+Q26+U26+Y26+E63</f>
        <v>5204430</v>
      </c>
      <c r="F26" s="149">
        <f t="shared" si="13"/>
        <v>-1411903</v>
      </c>
      <c r="G26" s="281">
        <f aca="true" t="shared" si="18" ref="G26:G37">_xlfn.IFERROR(F26/D26*100,"")</f>
        <v>-21.339660503786614</v>
      </c>
      <c r="H26" s="290">
        <v>152056</v>
      </c>
      <c r="I26" s="291">
        <v>3380</v>
      </c>
      <c r="J26" s="149">
        <f t="shared" si="14"/>
        <v>-148676</v>
      </c>
      <c r="K26" s="282">
        <f aca="true" t="shared" si="19" ref="K26:K37">_xlfn.IFERROR(J26/H26*100,"")</f>
        <v>-97.77713473983269</v>
      </c>
      <c r="L26" s="290">
        <v>1991</v>
      </c>
      <c r="M26" s="291">
        <v>6319</v>
      </c>
      <c r="N26" s="149">
        <f aca="true" t="shared" si="20" ref="N26:N35">M26-L26</f>
        <v>4328</v>
      </c>
      <c r="O26" s="282">
        <f aca="true" t="shared" si="21" ref="O26:O37">_xlfn.IFERROR(N26/L26*100,"")</f>
        <v>217.37820190858864</v>
      </c>
      <c r="P26" s="290">
        <v>4614866</v>
      </c>
      <c r="Q26" s="291">
        <v>4648874</v>
      </c>
      <c r="R26" s="149">
        <f t="shared" si="15"/>
        <v>34008</v>
      </c>
      <c r="S26" s="282">
        <f aca="true" t="shared" si="22" ref="S26:S37">_xlfn.IFERROR(R26/P26*100,"")</f>
        <v>0.7369228055592514</v>
      </c>
      <c r="T26" s="290">
        <v>1823500</v>
      </c>
      <c r="U26" s="291">
        <v>530100</v>
      </c>
      <c r="V26" s="149">
        <f aca="true" t="shared" si="23" ref="V26:V35">U26-T26</f>
        <v>-1293400</v>
      </c>
      <c r="W26" s="282">
        <f aca="true" t="shared" si="24" ref="W26:W37">_xlfn.IFERROR(V26/T26*100,"")</f>
        <v>-70.92953112146971</v>
      </c>
      <c r="X26" s="291">
        <v>0</v>
      </c>
      <c r="Y26" s="291">
        <v>0</v>
      </c>
      <c r="Z26" s="285">
        <f t="shared" si="16"/>
        <v>0</v>
      </c>
      <c r="AA26" s="250">
        <f aca="true" t="shared" si="25" ref="AA26:AA37">_xlfn.IFERROR(Z26/X26*100,"")</f>
      </c>
    </row>
    <row r="27" spans="1:27" s="74" customFormat="1" ht="23.25" customHeight="1">
      <c r="A27" s="132"/>
      <c r="B27" s="129"/>
      <c r="C27" s="76" t="s">
        <v>188</v>
      </c>
      <c r="D27" s="286">
        <f t="shared" si="17"/>
        <v>5179988</v>
      </c>
      <c r="E27" s="287">
        <f aca="true" t="shared" si="26" ref="E27:E35">I27+M27+Q27+U27+Y27+E64</f>
        <v>2204699</v>
      </c>
      <c r="F27" s="149">
        <f t="shared" si="13"/>
        <v>-2975289</v>
      </c>
      <c r="G27" s="281">
        <f t="shared" si="18"/>
        <v>-57.43814464435053</v>
      </c>
      <c r="H27" s="290">
        <v>6150</v>
      </c>
      <c r="I27" s="291">
        <v>24165</v>
      </c>
      <c r="J27" s="149">
        <f t="shared" si="14"/>
        <v>18015</v>
      </c>
      <c r="K27" s="282">
        <f t="shared" si="19"/>
        <v>292.9268292682927</v>
      </c>
      <c r="L27" s="290">
        <v>0</v>
      </c>
      <c r="M27" s="291">
        <v>550</v>
      </c>
      <c r="N27" s="149">
        <f>M27-L27</f>
        <v>550</v>
      </c>
      <c r="O27" s="282">
        <f>_xlfn.IFERROR(N27/L27*100,"")</f>
      </c>
      <c r="P27" s="290">
        <v>4177818</v>
      </c>
      <c r="Q27" s="291">
        <v>2167264</v>
      </c>
      <c r="R27" s="149">
        <f t="shared" si="15"/>
        <v>-2010554</v>
      </c>
      <c r="S27" s="282">
        <f t="shared" si="22"/>
        <v>-48.12449943965965</v>
      </c>
      <c r="T27" s="290">
        <v>995900</v>
      </c>
      <c r="U27" s="291">
        <v>12600</v>
      </c>
      <c r="V27" s="149">
        <f t="shared" si="23"/>
        <v>-983300</v>
      </c>
      <c r="W27" s="282">
        <f t="shared" si="24"/>
        <v>-98.73481273220203</v>
      </c>
      <c r="X27" s="291">
        <v>120</v>
      </c>
      <c r="Y27" s="291">
        <v>120</v>
      </c>
      <c r="Z27" s="285">
        <f t="shared" si="16"/>
        <v>0</v>
      </c>
      <c r="AA27" s="250">
        <f t="shared" si="25"/>
        <v>0</v>
      </c>
    </row>
    <row r="28" spans="1:27" s="74" customFormat="1" ht="23.25" customHeight="1">
      <c r="A28" s="132"/>
      <c r="B28" s="129"/>
      <c r="C28" s="76" t="s">
        <v>189</v>
      </c>
      <c r="D28" s="286">
        <f t="shared" si="17"/>
        <v>1082387</v>
      </c>
      <c r="E28" s="287">
        <f t="shared" si="26"/>
        <v>1058139</v>
      </c>
      <c r="F28" s="149">
        <f t="shared" si="13"/>
        <v>-24248</v>
      </c>
      <c r="G28" s="281">
        <f t="shared" si="18"/>
        <v>-2.240233853510805</v>
      </c>
      <c r="H28" s="290">
        <v>453</v>
      </c>
      <c r="I28" s="291">
        <v>42812</v>
      </c>
      <c r="J28" s="149">
        <f t="shared" si="14"/>
        <v>42359</v>
      </c>
      <c r="K28" s="282">
        <f t="shared" si="19"/>
        <v>9350.772626931566</v>
      </c>
      <c r="L28" s="290">
        <v>0</v>
      </c>
      <c r="M28" s="291">
        <v>0</v>
      </c>
      <c r="N28" s="149">
        <f t="shared" si="20"/>
        <v>0</v>
      </c>
      <c r="O28" s="282">
        <f t="shared" si="21"/>
      </c>
      <c r="P28" s="290">
        <v>1049428</v>
      </c>
      <c r="Q28" s="291">
        <v>1014144</v>
      </c>
      <c r="R28" s="149">
        <f t="shared" si="15"/>
        <v>-35284</v>
      </c>
      <c r="S28" s="282">
        <f t="shared" si="22"/>
        <v>-3.362212557698099</v>
      </c>
      <c r="T28" s="290">
        <v>32200</v>
      </c>
      <c r="U28" s="291">
        <v>0</v>
      </c>
      <c r="V28" s="149">
        <f t="shared" si="23"/>
        <v>-32200</v>
      </c>
      <c r="W28" s="282">
        <f t="shared" si="24"/>
        <v>-100</v>
      </c>
      <c r="X28" s="291">
        <v>306</v>
      </c>
      <c r="Y28" s="291">
        <v>0</v>
      </c>
      <c r="Z28" s="285">
        <f t="shared" si="16"/>
        <v>-306</v>
      </c>
      <c r="AA28" s="250">
        <f t="shared" si="25"/>
        <v>-100</v>
      </c>
    </row>
    <row r="29" spans="1:27" s="74" customFormat="1" ht="23.25" customHeight="1">
      <c r="A29" s="132"/>
      <c r="B29" s="129"/>
      <c r="C29" s="76" t="s">
        <v>190</v>
      </c>
      <c r="D29" s="286">
        <f t="shared" si="17"/>
        <v>3362945</v>
      </c>
      <c r="E29" s="287">
        <f t="shared" si="26"/>
        <v>3385138</v>
      </c>
      <c r="F29" s="149">
        <f t="shared" si="13"/>
        <v>22193</v>
      </c>
      <c r="G29" s="281">
        <f t="shared" si="18"/>
        <v>0.6599275337538972</v>
      </c>
      <c r="H29" s="290">
        <v>63367</v>
      </c>
      <c r="I29" s="291">
        <v>11910</v>
      </c>
      <c r="J29" s="149">
        <f t="shared" si="14"/>
        <v>-51457</v>
      </c>
      <c r="K29" s="282">
        <f t="shared" si="19"/>
        <v>-81.20472801300362</v>
      </c>
      <c r="L29" s="290">
        <v>0</v>
      </c>
      <c r="M29" s="291">
        <v>0</v>
      </c>
      <c r="N29" s="149">
        <f t="shared" si="20"/>
        <v>0</v>
      </c>
      <c r="O29" s="282">
        <f t="shared" si="21"/>
      </c>
      <c r="P29" s="290">
        <v>2765378</v>
      </c>
      <c r="Q29" s="291">
        <v>2922368</v>
      </c>
      <c r="R29" s="149">
        <f t="shared" si="15"/>
        <v>156990</v>
      </c>
      <c r="S29" s="282">
        <f t="shared" si="22"/>
        <v>5.676981591666673</v>
      </c>
      <c r="T29" s="290">
        <v>534200</v>
      </c>
      <c r="U29" s="291">
        <v>450860</v>
      </c>
      <c r="V29" s="149">
        <f t="shared" si="23"/>
        <v>-83340</v>
      </c>
      <c r="W29" s="282">
        <f t="shared" si="24"/>
        <v>-15.600898539872707</v>
      </c>
      <c r="X29" s="291">
        <v>0</v>
      </c>
      <c r="Y29" s="291">
        <v>0</v>
      </c>
      <c r="Z29" s="285">
        <f t="shared" si="16"/>
        <v>0</v>
      </c>
      <c r="AA29" s="250">
        <f t="shared" si="25"/>
      </c>
    </row>
    <row r="30" spans="1:27" s="74" customFormat="1" ht="23.25" customHeight="1">
      <c r="A30" s="132"/>
      <c r="B30" s="129"/>
      <c r="C30" s="76" t="s">
        <v>191</v>
      </c>
      <c r="D30" s="286">
        <f t="shared" si="17"/>
        <v>262603</v>
      </c>
      <c r="E30" s="287">
        <f t="shared" si="26"/>
        <v>252978</v>
      </c>
      <c r="F30" s="149">
        <f t="shared" si="13"/>
        <v>-9625</v>
      </c>
      <c r="G30" s="281">
        <f t="shared" si="18"/>
        <v>-3.665228500816822</v>
      </c>
      <c r="H30" s="290">
        <v>73</v>
      </c>
      <c r="I30" s="291">
        <v>215</v>
      </c>
      <c r="J30" s="149">
        <f t="shared" si="14"/>
        <v>142</v>
      </c>
      <c r="K30" s="282">
        <f t="shared" si="19"/>
        <v>194.5205479452055</v>
      </c>
      <c r="L30" s="290">
        <v>233</v>
      </c>
      <c r="M30" s="291">
        <v>0</v>
      </c>
      <c r="N30" s="149">
        <f t="shared" si="20"/>
        <v>-233</v>
      </c>
      <c r="O30" s="282">
        <f t="shared" si="21"/>
        <v>-100</v>
      </c>
      <c r="P30" s="290">
        <v>262297</v>
      </c>
      <c r="Q30" s="291">
        <v>252763</v>
      </c>
      <c r="R30" s="149">
        <f t="shared" si="15"/>
        <v>-9534</v>
      </c>
      <c r="S30" s="282">
        <f t="shared" si="22"/>
        <v>-3.6348109204451444</v>
      </c>
      <c r="T30" s="290">
        <v>0</v>
      </c>
      <c r="U30" s="291">
        <v>0</v>
      </c>
      <c r="V30" s="149">
        <f t="shared" si="23"/>
        <v>0</v>
      </c>
      <c r="W30" s="282">
        <f t="shared" si="24"/>
      </c>
      <c r="X30" s="291">
        <v>0</v>
      </c>
      <c r="Y30" s="291">
        <v>0</v>
      </c>
      <c r="Z30" s="285">
        <f t="shared" si="16"/>
        <v>0</v>
      </c>
      <c r="AA30" s="250">
        <f t="shared" si="25"/>
      </c>
    </row>
    <row r="31" spans="1:27" s="74" customFormat="1" ht="23.25" customHeight="1">
      <c r="A31" s="132"/>
      <c r="B31" s="129"/>
      <c r="C31" s="76" t="s">
        <v>192</v>
      </c>
      <c r="D31" s="286">
        <f t="shared" si="17"/>
        <v>0</v>
      </c>
      <c r="E31" s="287">
        <f t="shared" si="26"/>
        <v>0</v>
      </c>
      <c r="F31" s="149">
        <f t="shared" si="13"/>
        <v>0</v>
      </c>
      <c r="G31" s="281">
        <f t="shared" si="18"/>
      </c>
      <c r="H31" s="290">
        <v>0</v>
      </c>
      <c r="I31" s="291">
        <v>0</v>
      </c>
      <c r="J31" s="149">
        <f t="shared" si="14"/>
        <v>0</v>
      </c>
      <c r="K31" s="282">
        <f t="shared" si="19"/>
      </c>
      <c r="L31" s="290">
        <v>0</v>
      </c>
      <c r="M31" s="291">
        <v>0</v>
      </c>
      <c r="N31" s="149">
        <f t="shared" si="20"/>
        <v>0</v>
      </c>
      <c r="O31" s="282">
        <f t="shared" si="21"/>
      </c>
      <c r="P31" s="290">
        <v>0</v>
      </c>
      <c r="Q31" s="291">
        <v>0</v>
      </c>
      <c r="R31" s="149">
        <f t="shared" si="15"/>
        <v>0</v>
      </c>
      <c r="S31" s="282">
        <f t="shared" si="22"/>
      </c>
      <c r="T31" s="290">
        <v>0</v>
      </c>
      <c r="U31" s="291">
        <v>0</v>
      </c>
      <c r="V31" s="149">
        <f t="shared" si="23"/>
        <v>0</v>
      </c>
      <c r="W31" s="282">
        <f t="shared" si="24"/>
      </c>
      <c r="X31" s="291">
        <v>0</v>
      </c>
      <c r="Y31" s="291">
        <v>0</v>
      </c>
      <c r="Z31" s="285">
        <f t="shared" si="16"/>
        <v>0</v>
      </c>
      <c r="AA31" s="250">
        <f t="shared" si="25"/>
      </c>
    </row>
    <row r="32" spans="1:27" s="74" customFormat="1" ht="23.25" customHeight="1">
      <c r="A32" s="132"/>
      <c r="B32" s="129"/>
      <c r="C32" s="76" t="s">
        <v>193</v>
      </c>
      <c r="D32" s="286">
        <f t="shared" si="17"/>
        <v>648020</v>
      </c>
      <c r="E32" s="287">
        <f t="shared" si="26"/>
        <v>1024810</v>
      </c>
      <c r="F32" s="149">
        <f t="shared" si="13"/>
        <v>376790</v>
      </c>
      <c r="G32" s="281">
        <f t="shared" si="18"/>
        <v>58.14481034535971</v>
      </c>
      <c r="H32" s="290">
        <v>0</v>
      </c>
      <c r="I32" s="291">
        <v>0</v>
      </c>
      <c r="J32" s="149">
        <f t="shared" si="14"/>
        <v>0</v>
      </c>
      <c r="K32" s="282">
        <f t="shared" si="19"/>
      </c>
      <c r="L32" s="290">
        <v>0</v>
      </c>
      <c r="M32" s="291">
        <v>0</v>
      </c>
      <c r="N32" s="149">
        <f t="shared" si="20"/>
        <v>0</v>
      </c>
      <c r="O32" s="282">
        <f t="shared" si="21"/>
      </c>
      <c r="P32" s="290">
        <v>597782</v>
      </c>
      <c r="Q32" s="291">
        <v>900962</v>
      </c>
      <c r="R32" s="149">
        <f t="shared" si="15"/>
        <v>303180</v>
      </c>
      <c r="S32" s="282">
        <f t="shared" si="22"/>
        <v>50.71748563857727</v>
      </c>
      <c r="T32" s="290">
        <v>46500</v>
      </c>
      <c r="U32" s="291">
        <v>116600</v>
      </c>
      <c r="V32" s="149">
        <f t="shared" si="23"/>
        <v>70100</v>
      </c>
      <c r="W32" s="282">
        <f t="shared" si="24"/>
        <v>150.752688172043</v>
      </c>
      <c r="X32" s="291">
        <v>0</v>
      </c>
      <c r="Y32" s="291">
        <v>0</v>
      </c>
      <c r="Z32" s="285">
        <f t="shared" si="16"/>
        <v>0</v>
      </c>
      <c r="AA32" s="250">
        <f t="shared" si="25"/>
      </c>
    </row>
    <row r="33" spans="1:27" s="74" customFormat="1" ht="23.25" customHeight="1">
      <c r="A33" s="132"/>
      <c r="B33" s="129"/>
      <c r="C33" s="76" t="s">
        <v>194</v>
      </c>
      <c r="D33" s="286">
        <f t="shared" si="17"/>
        <v>784386</v>
      </c>
      <c r="E33" s="287">
        <f t="shared" si="26"/>
        <v>711070</v>
      </c>
      <c r="F33" s="149">
        <f t="shared" si="13"/>
        <v>-73316</v>
      </c>
      <c r="G33" s="281">
        <f t="shared" si="18"/>
        <v>-9.34692868052209</v>
      </c>
      <c r="H33" s="290">
        <v>0</v>
      </c>
      <c r="I33" s="291">
        <v>484</v>
      </c>
      <c r="J33" s="149">
        <f t="shared" si="14"/>
        <v>484</v>
      </c>
      <c r="K33" s="282">
        <f t="shared" si="19"/>
      </c>
      <c r="L33" s="290">
        <v>0</v>
      </c>
      <c r="M33" s="291">
        <v>2744</v>
      </c>
      <c r="N33" s="149">
        <f t="shared" si="20"/>
        <v>2744</v>
      </c>
      <c r="O33" s="282">
        <f t="shared" si="21"/>
      </c>
      <c r="P33" s="290">
        <v>747186</v>
      </c>
      <c r="Q33" s="291">
        <v>649042</v>
      </c>
      <c r="R33" s="149">
        <f t="shared" si="15"/>
        <v>-98144</v>
      </c>
      <c r="S33" s="282">
        <f t="shared" si="22"/>
        <v>-13.135149748523126</v>
      </c>
      <c r="T33" s="290">
        <v>37200</v>
      </c>
      <c r="U33" s="291">
        <v>58800</v>
      </c>
      <c r="V33" s="149">
        <f t="shared" si="23"/>
        <v>21600</v>
      </c>
      <c r="W33" s="282">
        <f t="shared" si="24"/>
        <v>58.06451612903226</v>
      </c>
      <c r="X33" s="291">
        <v>0</v>
      </c>
      <c r="Y33" s="291">
        <v>0</v>
      </c>
      <c r="Z33" s="285">
        <f t="shared" si="16"/>
        <v>0</v>
      </c>
      <c r="AA33" s="250">
        <f t="shared" si="25"/>
      </c>
    </row>
    <row r="34" spans="1:27" s="74" customFormat="1" ht="23.25" customHeight="1">
      <c r="A34" s="132"/>
      <c r="B34" s="129"/>
      <c r="C34" s="370" t="s">
        <v>195</v>
      </c>
      <c r="D34" s="286">
        <f t="shared" si="17"/>
        <v>1273972</v>
      </c>
      <c r="E34" s="287">
        <f t="shared" si="26"/>
        <v>1156339</v>
      </c>
      <c r="F34" s="149">
        <f t="shared" si="13"/>
        <v>-117633</v>
      </c>
      <c r="G34" s="281">
        <f t="shared" si="18"/>
        <v>-9.233562433083302</v>
      </c>
      <c r="H34" s="290">
        <v>82727</v>
      </c>
      <c r="I34" s="291">
        <v>72511</v>
      </c>
      <c r="J34" s="149">
        <f t="shared" si="14"/>
        <v>-10216</v>
      </c>
      <c r="K34" s="282">
        <f t="shared" si="19"/>
        <v>-12.34905170017044</v>
      </c>
      <c r="L34" s="290">
        <v>61189</v>
      </c>
      <c r="M34" s="291">
        <v>56620</v>
      </c>
      <c r="N34" s="149">
        <f t="shared" si="20"/>
        <v>-4569</v>
      </c>
      <c r="O34" s="282">
        <f t="shared" si="21"/>
        <v>-7.467028387455262</v>
      </c>
      <c r="P34" s="290">
        <v>1113312</v>
      </c>
      <c r="Q34" s="291">
        <v>1021008</v>
      </c>
      <c r="R34" s="149">
        <f t="shared" si="15"/>
        <v>-92304</v>
      </c>
      <c r="S34" s="282">
        <f t="shared" si="22"/>
        <v>-8.29093731137363</v>
      </c>
      <c r="T34" s="290">
        <v>10200</v>
      </c>
      <c r="U34" s="291">
        <v>6200</v>
      </c>
      <c r="V34" s="149">
        <f t="shared" si="23"/>
        <v>-4000</v>
      </c>
      <c r="W34" s="282">
        <f t="shared" si="24"/>
        <v>-39.21568627450981</v>
      </c>
      <c r="X34" s="291">
        <v>6544</v>
      </c>
      <c r="Y34" s="291"/>
      <c r="Z34" s="285">
        <f t="shared" si="16"/>
        <v>-6544</v>
      </c>
      <c r="AA34" s="250">
        <f t="shared" si="25"/>
        <v>-100</v>
      </c>
    </row>
    <row r="35" spans="1:27" s="74" customFormat="1" ht="23.25" customHeight="1">
      <c r="A35" s="132"/>
      <c r="B35" s="129"/>
      <c r="C35" s="76" t="s">
        <v>196</v>
      </c>
      <c r="D35" s="286">
        <f t="shared" si="17"/>
        <v>918184</v>
      </c>
      <c r="E35" s="287">
        <f t="shared" si="26"/>
        <v>703393</v>
      </c>
      <c r="F35" s="149">
        <f t="shared" si="13"/>
        <v>-214791</v>
      </c>
      <c r="G35" s="281">
        <f t="shared" si="18"/>
        <v>-23.39302362053793</v>
      </c>
      <c r="H35" s="290">
        <v>115602</v>
      </c>
      <c r="I35" s="291">
        <v>114292</v>
      </c>
      <c r="J35" s="149">
        <f t="shared" si="14"/>
        <v>-1310</v>
      </c>
      <c r="K35" s="282">
        <f t="shared" si="19"/>
        <v>-1.1331983875711493</v>
      </c>
      <c r="L35" s="290">
        <v>6289</v>
      </c>
      <c r="M35" s="291">
        <v>6700</v>
      </c>
      <c r="N35" s="149">
        <f t="shared" si="20"/>
        <v>411</v>
      </c>
      <c r="O35" s="282">
        <f t="shared" si="21"/>
        <v>6.535220225791064</v>
      </c>
      <c r="P35" s="290">
        <v>567193</v>
      </c>
      <c r="Q35" s="291">
        <v>538201</v>
      </c>
      <c r="R35" s="149">
        <f t="shared" si="15"/>
        <v>-28992</v>
      </c>
      <c r="S35" s="282">
        <f t="shared" si="22"/>
        <v>-5.111487624142047</v>
      </c>
      <c r="T35" s="290">
        <v>229100</v>
      </c>
      <c r="U35" s="291">
        <v>44200</v>
      </c>
      <c r="V35" s="149">
        <f t="shared" si="23"/>
        <v>-184900</v>
      </c>
      <c r="W35" s="282">
        <f t="shared" si="24"/>
        <v>-80.70711479703186</v>
      </c>
      <c r="X35" s="291">
        <v>0</v>
      </c>
      <c r="Y35" s="291">
        <v>0</v>
      </c>
      <c r="Z35" s="285">
        <f t="shared" si="16"/>
        <v>0</v>
      </c>
      <c r="AA35" s="250">
        <f t="shared" si="25"/>
      </c>
    </row>
    <row r="36" spans="1:27" s="74" customFormat="1" ht="23.25" customHeight="1">
      <c r="A36" s="132"/>
      <c r="B36" s="129"/>
      <c r="C36" s="76"/>
      <c r="D36" s="293"/>
      <c r="E36" s="294"/>
      <c r="F36" s="149"/>
      <c r="G36" s="281"/>
      <c r="H36" s="279"/>
      <c r="I36" s="280"/>
      <c r="J36" s="251"/>
      <c r="K36" s="281"/>
      <c r="L36" s="279"/>
      <c r="M36" s="280"/>
      <c r="N36" s="149"/>
      <c r="O36" s="282"/>
      <c r="P36" s="279"/>
      <c r="Q36" s="280"/>
      <c r="R36" s="149"/>
      <c r="S36" s="282"/>
      <c r="T36" s="279"/>
      <c r="U36" s="280"/>
      <c r="V36" s="149"/>
      <c r="W36" s="282"/>
      <c r="X36" s="280"/>
      <c r="Y36" s="280"/>
      <c r="Z36" s="285"/>
      <c r="AA36" s="250"/>
    </row>
    <row r="37" spans="1:27" s="74" customFormat="1" ht="23.25" customHeight="1">
      <c r="A37" s="132"/>
      <c r="B37" s="128" t="s">
        <v>273</v>
      </c>
      <c r="C37" s="75" t="s">
        <v>135</v>
      </c>
      <c r="D37" s="274">
        <f>H37+L37+P37+T37+X37</f>
        <v>7515322</v>
      </c>
      <c r="E37" s="275">
        <f>I37+M37+Q37+U37+Y37</f>
        <v>7711443</v>
      </c>
      <c r="F37" s="249">
        <f t="shared" si="13"/>
        <v>196121</v>
      </c>
      <c r="G37" s="276">
        <f t="shared" si="18"/>
        <v>2.6096153963862094</v>
      </c>
      <c r="H37" s="275">
        <v>2629</v>
      </c>
      <c r="I37" s="275">
        <v>38971</v>
      </c>
      <c r="J37" s="249">
        <f>I37-H37</f>
        <v>36342</v>
      </c>
      <c r="K37" s="276">
        <f t="shared" si="19"/>
        <v>1382.3507036896158</v>
      </c>
      <c r="L37" s="274">
        <v>12841</v>
      </c>
      <c r="M37" s="275">
        <v>38559</v>
      </c>
      <c r="N37" s="249">
        <f>M37-L37</f>
        <v>25718</v>
      </c>
      <c r="O37" s="276">
        <f t="shared" si="21"/>
        <v>200.280351997508</v>
      </c>
      <c r="P37" s="275">
        <v>7240352</v>
      </c>
      <c r="Q37" s="275">
        <v>7505913</v>
      </c>
      <c r="R37" s="249">
        <f>Q37-P37</f>
        <v>265561</v>
      </c>
      <c r="S37" s="276">
        <f t="shared" si="22"/>
        <v>3.6677912897052516</v>
      </c>
      <c r="T37" s="275">
        <v>259500</v>
      </c>
      <c r="U37" s="275">
        <v>127900</v>
      </c>
      <c r="V37" s="249">
        <f>U37-T37</f>
        <v>-131600</v>
      </c>
      <c r="W37" s="276">
        <f t="shared" si="24"/>
        <v>-50.712909441233144</v>
      </c>
      <c r="X37" s="275">
        <v>0</v>
      </c>
      <c r="Y37" s="275">
        <v>100</v>
      </c>
      <c r="Z37" s="277">
        <f>Y37-X37</f>
        <v>100</v>
      </c>
      <c r="AA37" s="278">
        <f t="shared" si="25"/>
      </c>
    </row>
    <row r="38" spans="1:27" s="74" customFormat="1" ht="23.25" customHeight="1" thickBot="1">
      <c r="A38" s="127"/>
      <c r="B38" s="130"/>
      <c r="C38" s="78"/>
      <c r="D38" s="295"/>
      <c r="E38" s="296"/>
      <c r="F38" s="150"/>
      <c r="G38" s="297"/>
      <c r="H38" s="295"/>
      <c r="I38" s="296"/>
      <c r="J38" s="150"/>
      <c r="K38" s="297"/>
      <c r="L38" s="295"/>
      <c r="M38" s="296"/>
      <c r="N38" s="150"/>
      <c r="O38" s="297"/>
      <c r="P38" s="295"/>
      <c r="Q38" s="296"/>
      <c r="R38" s="150"/>
      <c r="S38" s="297"/>
      <c r="T38" s="295"/>
      <c r="U38" s="296"/>
      <c r="V38" s="150"/>
      <c r="W38" s="297"/>
      <c r="X38" s="296"/>
      <c r="Y38" s="296"/>
      <c r="Z38" s="150"/>
      <c r="AA38" s="298"/>
    </row>
    <row r="39" spans="1:28" ht="12.75">
      <c r="A39" s="133"/>
      <c r="B39" s="79"/>
      <c r="C39" s="79"/>
      <c r="D39" s="79"/>
      <c r="E39" s="79"/>
      <c r="F39" s="79"/>
      <c r="G39" s="79"/>
      <c r="H39" s="79"/>
      <c r="I39" s="79"/>
      <c r="J39" s="79"/>
      <c r="K39" s="79"/>
      <c r="L39" s="79"/>
      <c r="M39" s="79"/>
      <c r="N39" s="79"/>
      <c r="O39" s="79"/>
      <c r="AA39" s="72"/>
      <c r="AB39" s="72"/>
    </row>
    <row r="40" spans="1:28" ht="13.5" thickBot="1">
      <c r="A40" s="126"/>
      <c r="B40" s="72"/>
      <c r="C40" s="72"/>
      <c r="AA40" s="72"/>
      <c r="AB40" s="72"/>
    </row>
    <row r="41" spans="1:23" s="65" customFormat="1" ht="23.25" customHeight="1">
      <c r="A41" s="1178" t="s">
        <v>165</v>
      </c>
      <c r="B41" s="1179"/>
      <c r="C41" s="1180"/>
      <c r="D41" s="87" t="s">
        <v>207</v>
      </c>
      <c r="E41" s="86"/>
      <c r="F41" s="86"/>
      <c r="G41" s="86"/>
      <c r="H41" s="80" t="s">
        <v>198</v>
      </c>
      <c r="I41" s="81"/>
      <c r="J41" s="81"/>
      <c r="K41" s="81"/>
      <c r="L41" s="91"/>
      <c r="M41" s="81"/>
      <c r="N41" s="81"/>
      <c r="O41" s="81"/>
      <c r="P41" s="91"/>
      <c r="Q41" s="81"/>
      <c r="R41" s="81"/>
      <c r="S41" s="81"/>
      <c r="T41" s="92" t="s">
        <v>208</v>
      </c>
      <c r="U41" s="93"/>
      <c r="V41" s="93"/>
      <c r="W41" s="138"/>
    </row>
    <row r="42" spans="1:23" s="65" customFormat="1" ht="23.25" customHeight="1">
      <c r="A42" s="1181"/>
      <c r="B42" s="1182"/>
      <c r="C42" s="1183"/>
      <c r="D42" s="252" t="s">
        <v>266</v>
      </c>
      <c r="E42" s="253"/>
      <c r="F42" s="253"/>
      <c r="G42" s="253"/>
      <c r="H42" s="89" t="s">
        <v>276</v>
      </c>
      <c r="I42" s="90"/>
      <c r="J42" s="90"/>
      <c r="K42" s="90"/>
      <c r="L42" s="89" t="s">
        <v>209</v>
      </c>
      <c r="M42" s="90"/>
      <c r="N42" s="90"/>
      <c r="O42" s="90"/>
      <c r="P42" s="89" t="s">
        <v>210</v>
      </c>
      <c r="Q42" s="90"/>
      <c r="R42" s="90"/>
      <c r="S42" s="90"/>
      <c r="T42" s="1203" t="s">
        <v>174</v>
      </c>
      <c r="U42" s="1169" t="s">
        <v>170</v>
      </c>
      <c r="V42" s="1171" t="s">
        <v>173</v>
      </c>
      <c r="W42" s="1173" t="s">
        <v>172</v>
      </c>
    </row>
    <row r="43" spans="1:23" s="65" customFormat="1" ht="23.25" customHeight="1">
      <c r="A43" s="1184"/>
      <c r="B43" s="1185"/>
      <c r="C43" s="1186"/>
      <c r="D43" s="71" t="s">
        <v>174</v>
      </c>
      <c r="E43" s="68" t="s">
        <v>170</v>
      </c>
      <c r="F43" s="68" t="s">
        <v>173</v>
      </c>
      <c r="G43" s="69" t="s">
        <v>172</v>
      </c>
      <c r="H43" s="71" t="s">
        <v>174</v>
      </c>
      <c r="I43" s="70" t="s">
        <v>170</v>
      </c>
      <c r="J43" s="68" t="s">
        <v>173</v>
      </c>
      <c r="K43" s="69" t="s">
        <v>172</v>
      </c>
      <c r="L43" s="71" t="s">
        <v>174</v>
      </c>
      <c r="M43" s="70" t="s">
        <v>170</v>
      </c>
      <c r="N43" s="68" t="s">
        <v>173</v>
      </c>
      <c r="O43" s="69" t="s">
        <v>172</v>
      </c>
      <c r="P43" s="71" t="s">
        <v>174</v>
      </c>
      <c r="Q43" s="70" t="s">
        <v>170</v>
      </c>
      <c r="R43" s="68" t="s">
        <v>173</v>
      </c>
      <c r="S43" s="82" t="s">
        <v>172</v>
      </c>
      <c r="T43" s="1204"/>
      <c r="U43" s="1170"/>
      <c r="V43" s="1172"/>
      <c r="W43" s="1200"/>
    </row>
    <row r="44" spans="1:23" ht="23.25" customHeight="1">
      <c r="A44" s="126"/>
      <c r="B44" s="72"/>
      <c r="C44" s="73"/>
      <c r="D44" s="266"/>
      <c r="E44" s="364"/>
      <c r="F44" s="268"/>
      <c r="G44" s="269"/>
      <c r="H44" s="266"/>
      <c r="I44" s="267"/>
      <c r="J44" s="268"/>
      <c r="K44" s="269"/>
      <c r="L44" s="266"/>
      <c r="M44" s="267"/>
      <c r="N44" s="268"/>
      <c r="O44" s="269"/>
      <c r="P44" s="266"/>
      <c r="Q44" s="267"/>
      <c r="R44" s="268"/>
      <c r="S44" s="299"/>
      <c r="T44" s="365"/>
      <c r="U44" s="268"/>
      <c r="V44" s="268"/>
      <c r="W44" s="273"/>
    </row>
    <row r="45" spans="1:23" ht="23.25" customHeight="1">
      <c r="A45" s="131" t="s">
        <v>175</v>
      </c>
      <c r="B45" s="128"/>
      <c r="C45" s="75"/>
      <c r="D45" s="274">
        <f>D47+D62+D74</f>
        <v>27658</v>
      </c>
      <c r="E45" s="300">
        <f>E47+E62+E74</f>
        <v>24188</v>
      </c>
      <c r="F45" s="249">
        <f>E45-D45</f>
        <v>-3470</v>
      </c>
      <c r="G45" s="276">
        <f>_xlfn.IFERROR(F45/D45*100,"")</f>
        <v>-12.546098777930437</v>
      </c>
      <c r="H45" s="274">
        <f>H47+H62+H74</f>
        <v>110982305</v>
      </c>
      <c r="I45" s="275">
        <f>I47+I62+I74</f>
        <v>109225992</v>
      </c>
      <c r="J45" s="249">
        <f>I45-H45</f>
        <v>-1756313</v>
      </c>
      <c r="K45" s="276">
        <f>_xlfn.IFERROR(J45/H45*100,"")</f>
        <v>-1.582516239863643</v>
      </c>
      <c r="L45" s="274">
        <f>L47+L62+L74</f>
        <v>23665171</v>
      </c>
      <c r="M45" s="275">
        <f>M47+M62+M74</f>
        <v>17100412</v>
      </c>
      <c r="N45" s="249">
        <f>M45-L45</f>
        <v>-6564759</v>
      </c>
      <c r="O45" s="276">
        <f>_xlfn.IFERROR(N45/L45*100,"")</f>
        <v>-27.740171410550975</v>
      </c>
      <c r="P45" s="274">
        <f>P47+P62+P74</f>
        <v>7539597</v>
      </c>
      <c r="Q45" s="275">
        <f>Q47+Q62+Q74</f>
        <v>7584422</v>
      </c>
      <c r="R45" s="249">
        <f>Q45-P45</f>
        <v>44825</v>
      </c>
      <c r="S45" s="257">
        <f>_xlfn.IFERROR(R45/P45*100,"")</f>
        <v>0.5945277977058986</v>
      </c>
      <c r="T45" s="275">
        <f>T47+T62+T74</f>
        <v>1028427</v>
      </c>
      <c r="U45" s="275">
        <f>U47+U62+U74</f>
        <v>749103</v>
      </c>
      <c r="V45" s="249">
        <f>U45-T45</f>
        <v>-279324</v>
      </c>
      <c r="W45" s="278">
        <f>_xlfn.IFERROR(V45/T45*100,"")</f>
        <v>-27.160313760723902</v>
      </c>
    </row>
    <row r="46" spans="1:23" ht="23.25" customHeight="1">
      <c r="A46" s="132"/>
      <c r="B46" s="129"/>
      <c r="C46" s="76"/>
      <c r="D46" s="279"/>
      <c r="E46" s="366"/>
      <c r="F46" s="149"/>
      <c r="G46" s="282"/>
      <c r="H46" s="279"/>
      <c r="I46" s="280"/>
      <c r="J46" s="149"/>
      <c r="K46" s="282"/>
      <c r="L46" s="279"/>
      <c r="M46" s="280"/>
      <c r="N46" s="149"/>
      <c r="O46" s="282"/>
      <c r="P46" s="279"/>
      <c r="Q46" s="280"/>
      <c r="R46" s="149"/>
      <c r="S46" s="301"/>
      <c r="T46" s="367"/>
      <c r="U46" s="283"/>
      <c r="V46" s="149"/>
      <c r="W46" s="250"/>
    </row>
    <row r="47" spans="1:23" ht="23.25" customHeight="1">
      <c r="A47" s="132"/>
      <c r="B47" s="128" t="s">
        <v>176</v>
      </c>
      <c r="C47" s="75" t="s">
        <v>135</v>
      </c>
      <c r="D47" s="303"/>
      <c r="E47" s="304"/>
      <c r="F47" s="305"/>
      <c r="G47" s="306"/>
      <c r="H47" s="274">
        <f>SUM(H48:H60)</f>
        <v>92341780</v>
      </c>
      <c r="I47" s="275">
        <f>SUM(I48:I60)</f>
        <v>90341007</v>
      </c>
      <c r="J47" s="249">
        <f>I47-H47</f>
        <v>-2000773</v>
      </c>
      <c r="K47" s="276">
        <f aca="true" t="shared" si="27" ref="K47:K60">_xlfn.IFERROR(J47/H47*100,"")</f>
        <v>-2.1667039556742353</v>
      </c>
      <c r="L47" s="274">
        <f>SUM(L48:L60)</f>
        <v>16220796</v>
      </c>
      <c r="M47" s="275">
        <f>SUM(M48:M60)</f>
        <v>14049617</v>
      </c>
      <c r="N47" s="249">
        <f>M47-L47</f>
        <v>-2171179</v>
      </c>
      <c r="O47" s="276">
        <f aca="true" t="shared" si="28" ref="O47:O60">_xlfn.IFERROR(N47/L47*100,"")</f>
        <v>-13.385156930646314</v>
      </c>
      <c r="P47" s="274">
        <f>SUM(P48:P60)</f>
        <v>5980357</v>
      </c>
      <c r="Q47" s="275">
        <f>SUM(Q48:Q60)</f>
        <v>6107763</v>
      </c>
      <c r="R47" s="249">
        <f>Q47-P47</f>
        <v>127406</v>
      </c>
      <c r="S47" s="257">
        <f aca="true" t="shared" si="29" ref="S47:S60">_xlfn.IFERROR(R47/P47*100,"")</f>
        <v>2.130407933840739</v>
      </c>
      <c r="T47" s="275">
        <f>SUM(T48:T60)</f>
        <v>221051</v>
      </c>
      <c r="U47" s="275">
        <f>SUM(U48:U60)</f>
        <v>160090</v>
      </c>
      <c r="V47" s="249">
        <f>U47-T47</f>
        <v>-60961</v>
      </c>
      <c r="W47" s="278">
        <f aca="true" t="shared" si="30" ref="W47:W60">_xlfn.IFERROR(V47/T47*100,"")</f>
        <v>-27.57779878851487</v>
      </c>
    </row>
    <row r="48" spans="1:24" ht="23.25" customHeight="1">
      <c r="A48" s="132"/>
      <c r="B48" s="129"/>
      <c r="C48" s="76" t="s">
        <v>177</v>
      </c>
      <c r="D48" s="303"/>
      <c r="E48" s="304"/>
      <c r="F48" s="305"/>
      <c r="G48" s="306"/>
      <c r="H48" s="291">
        <v>1741833</v>
      </c>
      <c r="I48" s="291">
        <v>1460184</v>
      </c>
      <c r="J48" s="149">
        <f aca="true" t="shared" si="31" ref="J48:J58">I48-H48</f>
        <v>-281649</v>
      </c>
      <c r="K48" s="282">
        <f t="shared" si="27"/>
        <v>-16.169690205662654</v>
      </c>
      <c r="L48" s="291">
        <v>245396</v>
      </c>
      <c r="M48" s="291">
        <v>121569</v>
      </c>
      <c r="N48" s="149">
        <f aca="true" t="shared" si="32" ref="N48:N58">M48-L48</f>
        <v>-123827</v>
      </c>
      <c r="O48" s="282">
        <f t="shared" si="28"/>
        <v>-50.4600726988215</v>
      </c>
      <c r="P48" s="291">
        <v>62175</v>
      </c>
      <c r="Q48" s="291">
        <v>62545</v>
      </c>
      <c r="R48" s="149">
        <f aca="true" t="shared" si="33" ref="R48:R58">Q48-P48</f>
        <v>370</v>
      </c>
      <c r="S48" s="301">
        <f t="shared" si="29"/>
        <v>0.5950944913550462</v>
      </c>
      <c r="T48" s="307">
        <v>65683</v>
      </c>
      <c r="U48" s="307">
        <v>12749</v>
      </c>
      <c r="V48" s="149">
        <f aca="true" t="shared" si="34" ref="V48:V58">U48-T48</f>
        <v>-52934</v>
      </c>
      <c r="W48" s="250">
        <f t="shared" si="30"/>
        <v>-80.59010702921609</v>
      </c>
      <c r="X48" s="264"/>
    </row>
    <row r="49" spans="1:24" ht="23.25" customHeight="1">
      <c r="A49" s="132"/>
      <c r="B49" s="129"/>
      <c r="C49" s="76" t="s">
        <v>178</v>
      </c>
      <c r="D49" s="303"/>
      <c r="E49" s="304"/>
      <c r="F49" s="305"/>
      <c r="G49" s="306"/>
      <c r="H49" s="291">
        <v>56763997</v>
      </c>
      <c r="I49" s="291">
        <v>56463656</v>
      </c>
      <c r="J49" s="149">
        <f t="shared" si="31"/>
        <v>-300341</v>
      </c>
      <c r="K49" s="282">
        <f t="shared" si="27"/>
        <v>-0.5291047422189104</v>
      </c>
      <c r="L49" s="291">
        <v>9935228</v>
      </c>
      <c r="M49" s="291">
        <v>8785677</v>
      </c>
      <c r="N49" s="149">
        <f t="shared" si="32"/>
        <v>-1149551</v>
      </c>
      <c r="O49" s="282">
        <f t="shared" si="28"/>
        <v>-11.570454145591826</v>
      </c>
      <c r="P49" s="291">
        <v>3452845</v>
      </c>
      <c r="Q49" s="291">
        <v>3613033</v>
      </c>
      <c r="R49" s="149">
        <f t="shared" si="33"/>
        <v>160188</v>
      </c>
      <c r="S49" s="301">
        <f t="shared" si="29"/>
        <v>4.639304689321415</v>
      </c>
      <c r="T49" s="307">
        <v>59760</v>
      </c>
      <c r="U49" s="307">
        <v>61284</v>
      </c>
      <c r="V49" s="149">
        <f t="shared" si="34"/>
        <v>1524</v>
      </c>
      <c r="W49" s="250">
        <f t="shared" si="30"/>
        <v>2.5502008032128516</v>
      </c>
      <c r="X49" s="264"/>
    </row>
    <row r="50" spans="1:24" ht="23.25" customHeight="1">
      <c r="A50" s="132"/>
      <c r="B50" s="129"/>
      <c r="C50" s="76" t="s">
        <v>179</v>
      </c>
      <c r="D50" s="303"/>
      <c r="E50" s="304"/>
      <c r="F50" s="305"/>
      <c r="G50" s="306"/>
      <c r="H50" s="291">
        <v>33163959</v>
      </c>
      <c r="I50" s="291">
        <v>31550447</v>
      </c>
      <c r="J50" s="149">
        <f t="shared" si="31"/>
        <v>-1613512</v>
      </c>
      <c r="K50" s="282">
        <f t="shared" si="27"/>
        <v>-4.86525749232774</v>
      </c>
      <c r="L50" s="291">
        <v>5997711</v>
      </c>
      <c r="M50" s="291">
        <v>4939995</v>
      </c>
      <c r="N50" s="149">
        <f t="shared" si="32"/>
        <v>-1057716</v>
      </c>
      <c r="O50" s="282">
        <f t="shared" si="28"/>
        <v>-17.6353278775853</v>
      </c>
      <c r="P50" s="291">
        <v>2464746</v>
      </c>
      <c r="Q50" s="291">
        <v>2431675</v>
      </c>
      <c r="R50" s="149">
        <f t="shared" si="33"/>
        <v>-33071</v>
      </c>
      <c r="S50" s="301">
        <f t="shared" si="29"/>
        <v>-1.3417609765874454</v>
      </c>
      <c r="T50" s="307">
        <v>33630</v>
      </c>
      <c r="U50" s="307">
        <v>35186</v>
      </c>
      <c r="V50" s="149">
        <f t="shared" si="34"/>
        <v>1556</v>
      </c>
      <c r="W50" s="250">
        <f t="shared" si="30"/>
        <v>4.626821290514422</v>
      </c>
      <c r="X50" s="264"/>
    </row>
    <row r="51" spans="1:24" ht="23.25" customHeight="1">
      <c r="A51" s="132"/>
      <c r="B51" s="129"/>
      <c r="C51" s="76" t="s">
        <v>241</v>
      </c>
      <c r="D51" s="303"/>
      <c r="E51" s="304"/>
      <c r="F51" s="305"/>
      <c r="G51" s="306"/>
      <c r="H51" s="291">
        <v>0</v>
      </c>
      <c r="I51" s="291">
        <v>0</v>
      </c>
      <c r="J51" s="149">
        <f t="shared" si="31"/>
        <v>0</v>
      </c>
      <c r="K51" s="282">
        <f t="shared" si="27"/>
      </c>
      <c r="L51" s="291">
        <v>0</v>
      </c>
      <c r="M51" s="291">
        <v>0</v>
      </c>
      <c r="N51" s="149">
        <f t="shared" si="32"/>
        <v>0</v>
      </c>
      <c r="O51" s="282">
        <f t="shared" si="28"/>
      </c>
      <c r="P51" s="291">
        <v>0</v>
      </c>
      <c r="Q51" s="291"/>
      <c r="R51" s="149">
        <f t="shared" si="33"/>
        <v>0</v>
      </c>
      <c r="S51" s="301">
        <f t="shared" si="29"/>
      </c>
      <c r="T51" s="307">
        <v>0</v>
      </c>
      <c r="U51" s="307">
        <v>0</v>
      </c>
      <c r="V51" s="149">
        <f t="shared" si="34"/>
        <v>0</v>
      </c>
      <c r="W51" s="250">
        <f t="shared" si="30"/>
      </c>
      <c r="X51" s="264"/>
    </row>
    <row r="52" spans="1:24" ht="23.25" customHeight="1">
      <c r="A52" s="132"/>
      <c r="B52" s="129"/>
      <c r="C52" s="76" t="s">
        <v>180</v>
      </c>
      <c r="D52" s="303"/>
      <c r="E52" s="304"/>
      <c r="F52" s="305"/>
      <c r="G52" s="306"/>
      <c r="H52" s="291">
        <v>0</v>
      </c>
      <c r="I52" s="291">
        <v>0</v>
      </c>
      <c r="J52" s="149">
        <f t="shared" si="31"/>
        <v>0</v>
      </c>
      <c r="K52" s="282">
        <f t="shared" si="27"/>
      </c>
      <c r="L52" s="291">
        <v>0</v>
      </c>
      <c r="M52" s="291">
        <v>0</v>
      </c>
      <c r="N52" s="149">
        <f t="shared" si="32"/>
        <v>0</v>
      </c>
      <c r="O52" s="282">
        <f t="shared" si="28"/>
      </c>
      <c r="P52" s="291">
        <v>0</v>
      </c>
      <c r="Q52" s="291">
        <v>0</v>
      </c>
      <c r="R52" s="149">
        <f t="shared" si="33"/>
        <v>0</v>
      </c>
      <c r="S52" s="301">
        <f t="shared" si="29"/>
      </c>
      <c r="T52" s="307">
        <v>0</v>
      </c>
      <c r="U52" s="307">
        <v>0</v>
      </c>
      <c r="V52" s="149">
        <f t="shared" si="34"/>
        <v>0</v>
      </c>
      <c r="W52" s="250">
        <f t="shared" si="30"/>
      </c>
      <c r="X52" s="264"/>
    </row>
    <row r="53" spans="1:24" ht="23.25" customHeight="1">
      <c r="A53" s="132"/>
      <c r="B53" s="129"/>
      <c r="C53" s="76" t="s">
        <v>181</v>
      </c>
      <c r="D53" s="303"/>
      <c r="E53" s="304"/>
      <c r="F53" s="305"/>
      <c r="G53" s="306"/>
      <c r="H53" s="291">
        <v>0</v>
      </c>
      <c r="I53" s="291">
        <v>0</v>
      </c>
      <c r="J53" s="149">
        <f t="shared" si="31"/>
        <v>0</v>
      </c>
      <c r="K53" s="282">
        <f t="shared" si="27"/>
      </c>
      <c r="L53" s="291">
        <v>0</v>
      </c>
      <c r="M53" s="291">
        <v>0</v>
      </c>
      <c r="N53" s="149">
        <f t="shared" si="32"/>
        <v>0</v>
      </c>
      <c r="O53" s="282">
        <f t="shared" si="28"/>
      </c>
      <c r="P53" s="291">
        <v>0</v>
      </c>
      <c r="Q53" s="291">
        <v>0</v>
      </c>
      <c r="R53" s="149">
        <f t="shared" si="33"/>
        <v>0</v>
      </c>
      <c r="S53" s="301">
        <f t="shared" si="29"/>
      </c>
      <c r="T53" s="307">
        <v>0</v>
      </c>
      <c r="U53" s="307">
        <v>0</v>
      </c>
      <c r="V53" s="149">
        <f t="shared" si="34"/>
        <v>0</v>
      </c>
      <c r="W53" s="250">
        <f t="shared" si="30"/>
      </c>
      <c r="X53" s="264"/>
    </row>
    <row r="54" spans="1:24" ht="23.25" customHeight="1">
      <c r="A54" s="132"/>
      <c r="B54" s="129"/>
      <c r="C54" s="76" t="s">
        <v>182</v>
      </c>
      <c r="D54" s="303"/>
      <c r="E54" s="304"/>
      <c r="F54" s="305"/>
      <c r="G54" s="306"/>
      <c r="H54" s="291">
        <v>0</v>
      </c>
      <c r="I54" s="291">
        <v>0</v>
      </c>
      <c r="J54" s="149">
        <f t="shared" si="31"/>
        <v>0</v>
      </c>
      <c r="K54" s="282">
        <f t="shared" si="27"/>
      </c>
      <c r="L54" s="291">
        <v>0</v>
      </c>
      <c r="M54" s="291">
        <v>0</v>
      </c>
      <c r="N54" s="149">
        <f t="shared" si="32"/>
        <v>0</v>
      </c>
      <c r="O54" s="282">
        <f t="shared" si="28"/>
      </c>
      <c r="P54" s="291">
        <v>0</v>
      </c>
      <c r="Q54" s="291">
        <v>0</v>
      </c>
      <c r="R54" s="149">
        <f t="shared" si="33"/>
        <v>0</v>
      </c>
      <c r="S54" s="301">
        <f t="shared" si="29"/>
      </c>
      <c r="T54" s="307">
        <v>0</v>
      </c>
      <c r="U54" s="307">
        <v>0</v>
      </c>
      <c r="V54" s="149">
        <f t="shared" si="34"/>
        <v>0</v>
      </c>
      <c r="W54" s="250">
        <f t="shared" si="30"/>
      </c>
      <c r="X54" s="264"/>
    </row>
    <row r="55" spans="1:24" ht="23.25" customHeight="1">
      <c r="A55" s="132"/>
      <c r="B55" s="129"/>
      <c r="C55" s="76" t="s">
        <v>38</v>
      </c>
      <c r="D55" s="303"/>
      <c r="E55" s="304"/>
      <c r="F55" s="305"/>
      <c r="G55" s="306"/>
      <c r="H55" s="291">
        <v>0</v>
      </c>
      <c r="I55" s="291">
        <v>0</v>
      </c>
      <c r="J55" s="149">
        <f t="shared" si="31"/>
        <v>0</v>
      </c>
      <c r="K55" s="282">
        <f t="shared" si="27"/>
      </c>
      <c r="L55" s="291">
        <v>0</v>
      </c>
      <c r="M55" s="291">
        <v>0</v>
      </c>
      <c r="N55" s="149">
        <f t="shared" si="32"/>
        <v>0</v>
      </c>
      <c r="O55" s="282">
        <f t="shared" si="28"/>
      </c>
      <c r="P55" s="291">
        <v>0</v>
      </c>
      <c r="Q55" s="291">
        <v>0</v>
      </c>
      <c r="R55" s="149">
        <f t="shared" si="33"/>
        <v>0</v>
      </c>
      <c r="S55" s="301">
        <f t="shared" si="29"/>
      </c>
      <c r="T55" s="307">
        <v>0</v>
      </c>
      <c r="U55" s="307">
        <v>0</v>
      </c>
      <c r="V55" s="149">
        <f t="shared" si="34"/>
        <v>0</v>
      </c>
      <c r="W55" s="250">
        <f t="shared" si="30"/>
      </c>
      <c r="X55" s="264"/>
    </row>
    <row r="56" spans="1:24" ht="23.25" customHeight="1">
      <c r="A56" s="132"/>
      <c r="B56" s="129"/>
      <c r="C56" s="76" t="s">
        <v>183</v>
      </c>
      <c r="D56" s="303"/>
      <c r="E56" s="304"/>
      <c r="F56" s="305"/>
      <c r="G56" s="306"/>
      <c r="H56" s="291">
        <v>0</v>
      </c>
      <c r="I56" s="291">
        <v>0</v>
      </c>
      <c r="J56" s="149">
        <f t="shared" si="31"/>
        <v>0</v>
      </c>
      <c r="K56" s="282">
        <f t="shared" si="27"/>
      </c>
      <c r="L56" s="291">
        <v>0</v>
      </c>
      <c r="M56" s="291">
        <v>0</v>
      </c>
      <c r="N56" s="149">
        <f t="shared" si="32"/>
        <v>0</v>
      </c>
      <c r="O56" s="282">
        <f t="shared" si="28"/>
      </c>
      <c r="P56" s="291">
        <v>0</v>
      </c>
      <c r="Q56" s="291">
        <v>0</v>
      </c>
      <c r="R56" s="149">
        <f t="shared" si="33"/>
        <v>0</v>
      </c>
      <c r="S56" s="301">
        <f t="shared" si="29"/>
      </c>
      <c r="T56" s="307">
        <v>0</v>
      </c>
      <c r="U56" s="307">
        <v>0</v>
      </c>
      <c r="V56" s="149">
        <f t="shared" si="34"/>
        <v>0</v>
      </c>
      <c r="W56" s="250">
        <f t="shared" si="30"/>
      </c>
      <c r="X56" s="264"/>
    </row>
    <row r="57" spans="1:24" ht="23.25" customHeight="1">
      <c r="A57" s="132"/>
      <c r="B57" s="129"/>
      <c r="C57" s="76" t="s">
        <v>184</v>
      </c>
      <c r="D57" s="303"/>
      <c r="E57" s="304"/>
      <c r="F57" s="305"/>
      <c r="G57" s="306"/>
      <c r="H57" s="291">
        <v>0</v>
      </c>
      <c r="I57" s="291">
        <v>0</v>
      </c>
      <c r="J57" s="149">
        <f t="shared" si="31"/>
        <v>0</v>
      </c>
      <c r="K57" s="282">
        <f t="shared" si="27"/>
      </c>
      <c r="L57" s="291">
        <v>0</v>
      </c>
      <c r="M57" s="291">
        <v>0</v>
      </c>
      <c r="N57" s="149">
        <f t="shared" si="32"/>
        <v>0</v>
      </c>
      <c r="O57" s="282">
        <f t="shared" si="28"/>
      </c>
      <c r="P57" s="291">
        <v>0</v>
      </c>
      <c r="Q57" s="291">
        <v>0</v>
      </c>
      <c r="R57" s="149">
        <f t="shared" si="33"/>
        <v>0</v>
      </c>
      <c r="S57" s="301">
        <f t="shared" si="29"/>
      </c>
      <c r="T57" s="307">
        <v>0</v>
      </c>
      <c r="U57" s="307">
        <v>0</v>
      </c>
      <c r="V57" s="149">
        <f t="shared" si="34"/>
        <v>0</v>
      </c>
      <c r="W57" s="250">
        <f t="shared" si="30"/>
      </c>
      <c r="X57" s="264"/>
    </row>
    <row r="58" spans="1:24" ht="23.25" customHeight="1">
      <c r="A58" s="132"/>
      <c r="B58" s="129"/>
      <c r="C58" s="76" t="s">
        <v>185</v>
      </c>
      <c r="D58" s="303"/>
      <c r="E58" s="304"/>
      <c r="F58" s="305"/>
      <c r="G58" s="306"/>
      <c r="H58" s="291">
        <v>0</v>
      </c>
      <c r="I58" s="291">
        <v>0</v>
      </c>
      <c r="J58" s="149">
        <f t="shared" si="31"/>
        <v>0</v>
      </c>
      <c r="K58" s="282">
        <f t="shared" si="27"/>
      </c>
      <c r="L58" s="291">
        <v>0</v>
      </c>
      <c r="M58" s="291">
        <v>0</v>
      </c>
      <c r="N58" s="149">
        <f t="shared" si="32"/>
        <v>0</v>
      </c>
      <c r="O58" s="282">
        <f t="shared" si="28"/>
      </c>
      <c r="P58" s="291">
        <v>0</v>
      </c>
      <c r="Q58" s="291">
        <v>0</v>
      </c>
      <c r="R58" s="149">
        <f t="shared" si="33"/>
        <v>0</v>
      </c>
      <c r="S58" s="301">
        <f t="shared" si="29"/>
      </c>
      <c r="T58" s="307">
        <v>0</v>
      </c>
      <c r="U58" s="307">
        <v>0</v>
      </c>
      <c r="V58" s="149">
        <f t="shared" si="34"/>
        <v>0</v>
      </c>
      <c r="W58" s="250">
        <f t="shared" si="30"/>
      </c>
      <c r="X58" s="264"/>
    </row>
    <row r="59" spans="1:24" ht="23.25" customHeight="1">
      <c r="A59" s="132"/>
      <c r="B59" s="129"/>
      <c r="C59" s="76" t="s">
        <v>320</v>
      </c>
      <c r="D59" s="303"/>
      <c r="E59" s="304"/>
      <c r="F59" s="305"/>
      <c r="G59" s="306"/>
      <c r="H59" s="291">
        <v>671991</v>
      </c>
      <c r="I59" s="291">
        <v>866720</v>
      </c>
      <c r="J59" s="149">
        <f>I59-H59</f>
        <v>194729</v>
      </c>
      <c r="K59" s="282">
        <f t="shared" si="27"/>
        <v>28.977917859018948</v>
      </c>
      <c r="L59" s="291">
        <v>42461</v>
      </c>
      <c r="M59" s="291">
        <v>202376</v>
      </c>
      <c r="N59" s="149">
        <f>M59-L59</f>
        <v>159915</v>
      </c>
      <c r="O59" s="282">
        <f t="shared" si="28"/>
        <v>376.6161889734109</v>
      </c>
      <c r="P59" s="291">
        <v>591</v>
      </c>
      <c r="Q59" s="291">
        <v>510</v>
      </c>
      <c r="R59" s="149">
        <f>Q59-P59</f>
        <v>-81</v>
      </c>
      <c r="S59" s="301">
        <f t="shared" si="29"/>
        <v>-13.705583756345177</v>
      </c>
      <c r="T59" s="307">
        <v>61978</v>
      </c>
      <c r="U59" s="307">
        <v>50871</v>
      </c>
      <c r="V59" s="149">
        <f>U59-T59</f>
        <v>-11107</v>
      </c>
      <c r="W59" s="250">
        <f t="shared" si="30"/>
        <v>-17.920875149246505</v>
      </c>
      <c r="X59" s="264"/>
    </row>
    <row r="60" spans="1:24" ht="23.25" customHeight="1">
      <c r="A60" s="132"/>
      <c r="B60" s="129"/>
      <c r="C60" s="76" t="s">
        <v>319</v>
      </c>
      <c r="D60" s="303"/>
      <c r="E60" s="304"/>
      <c r="F60" s="305"/>
      <c r="G60" s="306"/>
      <c r="H60" s="291"/>
      <c r="I60" s="291"/>
      <c r="J60" s="149">
        <f>I60-H60</f>
        <v>0</v>
      </c>
      <c r="K60" s="282">
        <f t="shared" si="27"/>
      </c>
      <c r="L60" s="291"/>
      <c r="M60" s="291"/>
      <c r="N60" s="149">
        <f>M60-L60</f>
        <v>0</v>
      </c>
      <c r="O60" s="282">
        <f t="shared" si="28"/>
      </c>
      <c r="P60" s="291"/>
      <c r="Q60" s="291"/>
      <c r="R60" s="149">
        <f>Q60-P60</f>
        <v>0</v>
      </c>
      <c r="S60" s="301">
        <f t="shared" si="29"/>
      </c>
      <c r="T60" s="307">
        <v>0</v>
      </c>
      <c r="U60" s="307">
        <v>0</v>
      </c>
      <c r="V60" s="149">
        <f>U60-T60</f>
        <v>0</v>
      </c>
      <c r="W60" s="250">
        <f t="shared" si="30"/>
      </c>
      <c r="X60" s="264"/>
    </row>
    <row r="61" spans="1:23" ht="23.25" customHeight="1">
      <c r="A61" s="132"/>
      <c r="B61" s="129"/>
      <c r="C61" s="76"/>
      <c r="D61" s="279"/>
      <c r="E61" s="366"/>
      <c r="F61" s="251"/>
      <c r="G61" s="284"/>
      <c r="H61" s="279"/>
      <c r="I61" s="280"/>
      <c r="J61" s="149"/>
      <c r="K61" s="282"/>
      <c r="L61" s="279"/>
      <c r="M61" s="280"/>
      <c r="N61" s="149"/>
      <c r="O61" s="282"/>
      <c r="P61" s="279"/>
      <c r="Q61" s="280"/>
      <c r="R61" s="149"/>
      <c r="S61" s="301"/>
      <c r="T61" s="367"/>
      <c r="U61" s="283"/>
      <c r="V61" s="149"/>
      <c r="W61" s="250"/>
    </row>
    <row r="62" spans="1:24" ht="23.25" customHeight="1">
      <c r="A62" s="132"/>
      <c r="B62" s="128" t="s">
        <v>272</v>
      </c>
      <c r="C62" s="75" t="s">
        <v>135</v>
      </c>
      <c r="D62" s="274">
        <f>SUM(D63:D72)</f>
        <v>27658</v>
      </c>
      <c r="E62" s="308">
        <f>SUM(E63:E72)</f>
        <v>24188</v>
      </c>
      <c r="F62" s="249">
        <f>E62-D62</f>
        <v>-3470</v>
      </c>
      <c r="G62" s="276">
        <f>_xlfn.IFERROR(F62/D62*100,"")</f>
        <v>-12.546098777930437</v>
      </c>
      <c r="H62" s="274">
        <f>SUM(H63:H72)</f>
        <v>11453818</v>
      </c>
      <c r="I62" s="275">
        <f>SUM(I63:I72)</f>
        <v>11336207</v>
      </c>
      <c r="J62" s="249">
        <f aca="true" t="shared" si="35" ref="J62:J72">I62-H62</f>
        <v>-117611</v>
      </c>
      <c r="K62" s="276">
        <f>_xlfn.IFERROR(J62/H62*100,"")</f>
        <v>-1.0268279101344198</v>
      </c>
      <c r="L62" s="274">
        <f>SUM(L63:L72)</f>
        <v>7134075</v>
      </c>
      <c r="M62" s="275">
        <f>SUM(M63:M72)</f>
        <v>2906549</v>
      </c>
      <c r="N62" s="249">
        <f aca="true" t="shared" si="36" ref="N62:N72">M62-L62</f>
        <v>-4227526</v>
      </c>
      <c r="O62" s="276">
        <f>_xlfn.IFERROR(N62/L62*100,"")</f>
        <v>-59.25822198392924</v>
      </c>
      <c r="P62" s="274">
        <f>SUM(P63:P72)</f>
        <v>1540925</v>
      </c>
      <c r="Q62" s="275">
        <f>SUM(Q63:Q72)</f>
        <v>1458240</v>
      </c>
      <c r="R62" s="249">
        <f aca="true" t="shared" si="37" ref="R62:R72">Q62-P62</f>
        <v>-82685</v>
      </c>
      <c r="S62" s="257">
        <f>_xlfn.IFERROR(R62/P62*100,"")</f>
        <v>-5.365932800103834</v>
      </c>
      <c r="T62" s="308">
        <v>734099</v>
      </c>
      <c r="U62" s="308">
        <v>511520</v>
      </c>
      <c r="V62" s="249">
        <f>U62-T62</f>
        <v>-222579</v>
      </c>
      <c r="W62" s="278">
        <f>_xlfn.IFERROR(V62/T62*100,"")</f>
        <v>-30.320024955762097</v>
      </c>
      <c r="X62" s="264"/>
    </row>
    <row r="63" spans="1:24" ht="23.25" customHeight="1">
      <c r="A63" s="132"/>
      <c r="B63" s="129"/>
      <c r="C63" s="76" t="s">
        <v>187</v>
      </c>
      <c r="D63" s="307">
        <v>23920</v>
      </c>
      <c r="E63" s="307">
        <v>15757</v>
      </c>
      <c r="F63" s="149">
        <f aca="true" t="shared" si="38" ref="F63:F72">E63-D63</f>
        <v>-8163</v>
      </c>
      <c r="G63" s="282">
        <f aca="true" t="shared" si="39" ref="G63:G72">_xlfn.IFERROR(F63/D63*100,"")</f>
        <v>-34.126254180602004</v>
      </c>
      <c r="H63" s="291">
        <v>3780086</v>
      </c>
      <c r="I63" s="291">
        <v>3776224</v>
      </c>
      <c r="J63" s="149">
        <f t="shared" si="35"/>
        <v>-3862</v>
      </c>
      <c r="K63" s="282">
        <f aca="true" t="shared" si="40" ref="K63:K72">_xlfn.IFERROR(J63/H63*100,"")</f>
        <v>-0.10216698773519968</v>
      </c>
      <c r="L63" s="291">
        <v>2427831</v>
      </c>
      <c r="M63" s="291">
        <v>1069460</v>
      </c>
      <c r="N63" s="149">
        <f t="shared" si="36"/>
        <v>-1358371</v>
      </c>
      <c r="O63" s="282">
        <f aca="true" t="shared" si="41" ref="O63:O74">_xlfn.IFERROR(N63/L63*100,"")</f>
        <v>-55.94998169147688</v>
      </c>
      <c r="P63" s="291">
        <v>408416</v>
      </c>
      <c r="Q63" s="291">
        <v>358746</v>
      </c>
      <c r="R63" s="149">
        <f t="shared" si="37"/>
        <v>-49670</v>
      </c>
      <c r="S63" s="301">
        <f aca="true" t="shared" si="42" ref="S63:S74">_xlfn.IFERROR(R63/P63*100,"")</f>
        <v>-12.161619525190002</v>
      </c>
      <c r="T63" s="368"/>
      <c r="U63" s="309"/>
      <c r="V63" s="309"/>
      <c r="W63" s="355"/>
      <c r="X63" s="264"/>
    </row>
    <row r="64" spans="1:24" ht="23.25" customHeight="1">
      <c r="A64" s="132"/>
      <c r="B64" s="129"/>
      <c r="C64" s="76" t="s">
        <v>188</v>
      </c>
      <c r="D64" s="307">
        <v>0</v>
      </c>
      <c r="E64" s="307">
        <v>0</v>
      </c>
      <c r="F64" s="149">
        <f t="shared" si="38"/>
        <v>0</v>
      </c>
      <c r="G64" s="282">
        <f t="shared" si="39"/>
      </c>
      <c r="H64" s="291">
        <v>1753402</v>
      </c>
      <c r="I64" s="291">
        <v>1688322</v>
      </c>
      <c r="J64" s="149">
        <f t="shared" si="35"/>
        <v>-65080</v>
      </c>
      <c r="K64" s="282">
        <f t="shared" si="40"/>
        <v>-3.7116417113702393</v>
      </c>
      <c r="L64" s="291">
        <v>3170444</v>
      </c>
      <c r="M64" s="291">
        <v>372213</v>
      </c>
      <c r="N64" s="149">
        <f t="shared" si="36"/>
        <v>-2798231</v>
      </c>
      <c r="O64" s="282">
        <f t="shared" si="41"/>
        <v>-88.25990933761959</v>
      </c>
      <c r="P64" s="291">
        <v>256142</v>
      </c>
      <c r="Q64" s="291">
        <v>144164</v>
      </c>
      <c r="R64" s="149">
        <f t="shared" si="37"/>
        <v>-111978</v>
      </c>
      <c r="S64" s="301">
        <f t="shared" si="42"/>
        <v>-43.71715688953783</v>
      </c>
      <c r="T64" s="368"/>
      <c r="U64" s="309"/>
      <c r="V64" s="309"/>
      <c r="W64" s="355"/>
      <c r="X64" s="264"/>
    </row>
    <row r="65" spans="1:23" ht="23.25" customHeight="1">
      <c r="A65" s="132"/>
      <c r="B65" s="129"/>
      <c r="C65" s="76" t="s">
        <v>189</v>
      </c>
      <c r="D65" s="307">
        <v>0</v>
      </c>
      <c r="E65" s="307">
        <v>1183</v>
      </c>
      <c r="F65" s="149">
        <f t="shared" si="38"/>
        <v>1183</v>
      </c>
      <c r="G65" s="282">
        <f t="shared" si="39"/>
      </c>
      <c r="H65" s="291">
        <v>968720</v>
      </c>
      <c r="I65" s="291">
        <v>1013601</v>
      </c>
      <c r="J65" s="149">
        <f t="shared" si="35"/>
        <v>44881</v>
      </c>
      <c r="K65" s="282">
        <f t="shared" si="40"/>
        <v>4.633020893550252</v>
      </c>
      <c r="L65" s="291">
        <v>98962</v>
      </c>
      <c r="M65" s="291">
        <v>36527</v>
      </c>
      <c r="N65" s="149">
        <f t="shared" si="36"/>
        <v>-62435</v>
      </c>
      <c r="O65" s="282">
        <f t="shared" si="41"/>
        <v>-63.089872880499584</v>
      </c>
      <c r="P65" s="291">
        <v>14705</v>
      </c>
      <c r="Q65" s="291">
        <v>8011</v>
      </c>
      <c r="R65" s="149">
        <f t="shared" si="37"/>
        <v>-6694</v>
      </c>
      <c r="S65" s="301">
        <f t="shared" si="42"/>
        <v>-45.52193131587895</v>
      </c>
      <c r="T65" s="368"/>
      <c r="U65" s="309"/>
      <c r="V65" s="309"/>
      <c r="W65" s="355"/>
    </row>
    <row r="66" spans="1:23" ht="23.25" customHeight="1">
      <c r="A66" s="132"/>
      <c r="B66" s="129"/>
      <c r="C66" s="76" t="s">
        <v>190</v>
      </c>
      <c r="D66" s="307">
        <v>0</v>
      </c>
      <c r="E66" s="307">
        <v>0</v>
      </c>
      <c r="F66" s="149">
        <f t="shared" si="38"/>
        <v>0</v>
      </c>
      <c r="G66" s="282">
        <f t="shared" si="39"/>
      </c>
      <c r="H66" s="291">
        <v>1742073</v>
      </c>
      <c r="I66" s="291">
        <v>1719412</v>
      </c>
      <c r="J66" s="149">
        <f t="shared" si="35"/>
        <v>-22661</v>
      </c>
      <c r="K66" s="282">
        <f t="shared" si="40"/>
        <v>-1.300806567807434</v>
      </c>
      <c r="L66" s="291">
        <v>877490</v>
      </c>
      <c r="M66" s="291">
        <v>827075</v>
      </c>
      <c r="N66" s="149">
        <f t="shared" si="36"/>
        <v>-50415</v>
      </c>
      <c r="O66" s="282">
        <f t="shared" si="41"/>
        <v>-5.745364619539823</v>
      </c>
      <c r="P66" s="291">
        <v>743382</v>
      </c>
      <c r="Q66" s="291">
        <v>838651</v>
      </c>
      <c r="R66" s="149">
        <f t="shared" si="37"/>
        <v>95269</v>
      </c>
      <c r="S66" s="301">
        <f t="shared" si="42"/>
        <v>12.81561834965065</v>
      </c>
      <c r="T66" s="368"/>
      <c r="U66" s="309"/>
      <c r="V66" s="309"/>
      <c r="W66" s="355"/>
    </row>
    <row r="67" spans="1:23" ht="23.25" customHeight="1">
      <c r="A67" s="132"/>
      <c r="B67" s="129"/>
      <c r="C67" s="76" t="s">
        <v>191</v>
      </c>
      <c r="D67" s="307">
        <v>0</v>
      </c>
      <c r="E67" s="307">
        <v>0</v>
      </c>
      <c r="F67" s="149">
        <f t="shared" si="38"/>
        <v>0</v>
      </c>
      <c r="G67" s="282">
        <f t="shared" si="39"/>
      </c>
      <c r="H67" s="291">
        <v>257041</v>
      </c>
      <c r="I67" s="291">
        <v>241253</v>
      </c>
      <c r="J67" s="149">
        <f t="shared" si="35"/>
        <v>-15788</v>
      </c>
      <c r="K67" s="282">
        <f t="shared" si="40"/>
        <v>-6.142210775712824</v>
      </c>
      <c r="L67" s="291">
        <v>880</v>
      </c>
      <c r="M67" s="291">
        <v>3267</v>
      </c>
      <c r="N67" s="149">
        <f t="shared" si="36"/>
        <v>2387</v>
      </c>
      <c r="O67" s="282">
        <f t="shared" si="41"/>
        <v>271.25</v>
      </c>
      <c r="P67" s="291">
        <v>4682</v>
      </c>
      <c r="Q67" s="291">
        <v>8458</v>
      </c>
      <c r="R67" s="149">
        <f t="shared" si="37"/>
        <v>3776</v>
      </c>
      <c r="S67" s="301">
        <f t="shared" si="42"/>
        <v>80.64929517300298</v>
      </c>
      <c r="T67" s="368"/>
      <c r="U67" s="309"/>
      <c r="V67" s="309"/>
      <c r="W67" s="355"/>
    </row>
    <row r="68" spans="1:23" ht="23.25" customHeight="1">
      <c r="A68" s="132"/>
      <c r="B68" s="129"/>
      <c r="C68" s="76" t="s">
        <v>192</v>
      </c>
      <c r="D68" s="307">
        <v>0</v>
      </c>
      <c r="E68" s="307">
        <v>0</v>
      </c>
      <c r="F68" s="149">
        <f t="shared" si="38"/>
        <v>0</v>
      </c>
      <c r="G68" s="282">
        <f t="shared" si="39"/>
      </c>
      <c r="H68" s="291">
        <v>0</v>
      </c>
      <c r="I68" s="291">
        <v>0</v>
      </c>
      <c r="J68" s="149">
        <f t="shared" si="35"/>
        <v>0</v>
      </c>
      <c r="K68" s="282">
        <f t="shared" si="40"/>
      </c>
      <c r="L68" s="291">
        <v>0</v>
      </c>
      <c r="M68" s="291">
        <v>0</v>
      </c>
      <c r="N68" s="149">
        <f t="shared" si="36"/>
        <v>0</v>
      </c>
      <c r="O68" s="282">
        <f t="shared" si="41"/>
      </c>
      <c r="P68" s="291">
        <v>0</v>
      </c>
      <c r="Q68" s="291">
        <v>0</v>
      </c>
      <c r="R68" s="149">
        <f t="shared" si="37"/>
        <v>0</v>
      </c>
      <c r="S68" s="301">
        <f t="shared" si="42"/>
      </c>
      <c r="T68" s="368"/>
      <c r="U68" s="309"/>
      <c r="V68" s="309"/>
      <c r="W68" s="355"/>
    </row>
    <row r="69" spans="1:23" ht="23.25" customHeight="1">
      <c r="A69" s="132"/>
      <c r="B69" s="129"/>
      <c r="C69" s="76" t="s">
        <v>193</v>
      </c>
      <c r="D69" s="307">
        <v>3738</v>
      </c>
      <c r="E69" s="307">
        <v>7248</v>
      </c>
      <c r="F69" s="149">
        <f t="shared" si="38"/>
        <v>3510</v>
      </c>
      <c r="G69" s="282">
        <f t="shared" si="39"/>
        <v>93.90048154093098</v>
      </c>
      <c r="H69" s="291">
        <v>497465</v>
      </c>
      <c r="I69" s="291">
        <v>665413</v>
      </c>
      <c r="J69" s="149">
        <f t="shared" si="35"/>
        <v>167948</v>
      </c>
      <c r="K69" s="282">
        <f t="shared" si="40"/>
        <v>33.76076708914195</v>
      </c>
      <c r="L69" s="291">
        <v>80648</v>
      </c>
      <c r="M69" s="291">
        <v>297586</v>
      </c>
      <c r="N69" s="149">
        <f t="shared" si="36"/>
        <v>216938</v>
      </c>
      <c r="O69" s="282">
        <f t="shared" si="41"/>
        <v>268.99365142346994</v>
      </c>
      <c r="P69" s="291">
        <v>69907</v>
      </c>
      <c r="Q69" s="291">
        <v>61811</v>
      </c>
      <c r="R69" s="149">
        <f t="shared" si="37"/>
        <v>-8096</v>
      </c>
      <c r="S69" s="301">
        <f t="shared" si="42"/>
        <v>-11.581100605089619</v>
      </c>
      <c r="T69" s="368"/>
      <c r="U69" s="309"/>
      <c r="V69" s="309"/>
      <c r="W69" s="355"/>
    </row>
    <row r="70" spans="1:23" ht="23.25" customHeight="1">
      <c r="A70" s="132"/>
      <c r="B70" s="129"/>
      <c r="C70" s="76" t="s">
        <v>194</v>
      </c>
      <c r="D70" s="307">
        <v>0</v>
      </c>
      <c r="E70" s="307">
        <v>0</v>
      </c>
      <c r="F70" s="149">
        <f t="shared" si="38"/>
        <v>0</v>
      </c>
      <c r="G70" s="282">
        <f t="shared" si="39"/>
      </c>
      <c r="H70" s="291">
        <v>642307</v>
      </c>
      <c r="I70" s="291">
        <v>555047</v>
      </c>
      <c r="J70" s="149">
        <f t="shared" si="35"/>
        <v>-87260</v>
      </c>
      <c r="K70" s="282">
        <f t="shared" si="40"/>
        <v>-13.585403864507159</v>
      </c>
      <c r="L70" s="291">
        <v>128612</v>
      </c>
      <c r="M70" s="291">
        <v>140698</v>
      </c>
      <c r="N70" s="149">
        <f t="shared" si="36"/>
        <v>12086</v>
      </c>
      <c r="O70" s="282">
        <f t="shared" si="41"/>
        <v>9.397256865611297</v>
      </c>
      <c r="P70" s="291">
        <v>13467</v>
      </c>
      <c r="Q70" s="291">
        <v>15325</v>
      </c>
      <c r="R70" s="149">
        <f t="shared" si="37"/>
        <v>1858</v>
      </c>
      <c r="S70" s="301">
        <f t="shared" si="42"/>
        <v>13.796688200787111</v>
      </c>
      <c r="T70" s="368"/>
      <c r="U70" s="309"/>
      <c r="V70" s="309"/>
      <c r="W70" s="355"/>
    </row>
    <row r="71" spans="1:23" ht="23.25" customHeight="1">
      <c r="A71" s="132"/>
      <c r="B71" s="129"/>
      <c r="C71" s="370" t="s">
        <v>195</v>
      </c>
      <c r="D71" s="307">
        <v>0</v>
      </c>
      <c r="E71" s="307">
        <v>0</v>
      </c>
      <c r="F71" s="149">
        <f t="shared" si="38"/>
        <v>0</v>
      </c>
      <c r="G71" s="282">
        <f t="shared" si="39"/>
      </c>
      <c r="H71" s="291">
        <v>1258892</v>
      </c>
      <c r="I71" s="291">
        <v>1092658</v>
      </c>
      <c r="J71" s="149">
        <f t="shared" si="35"/>
        <v>-166234</v>
      </c>
      <c r="K71" s="282">
        <f t="shared" si="40"/>
        <v>-13.204786431242713</v>
      </c>
      <c r="L71" s="291">
        <v>15037</v>
      </c>
      <c r="M71" s="291">
        <v>63638</v>
      </c>
      <c r="N71" s="149">
        <f t="shared" si="36"/>
        <v>48601</v>
      </c>
      <c r="O71" s="282">
        <f t="shared" si="41"/>
        <v>323.2094167719625</v>
      </c>
      <c r="P71" s="291">
        <v>43</v>
      </c>
      <c r="Q71" s="291">
        <v>43</v>
      </c>
      <c r="R71" s="149">
        <f t="shared" si="37"/>
        <v>0</v>
      </c>
      <c r="S71" s="301">
        <f t="shared" si="42"/>
        <v>0</v>
      </c>
      <c r="T71" s="368"/>
      <c r="U71" s="309"/>
      <c r="V71" s="309"/>
      <c r="W71" s="355"/>
    </row>
    <row r="72" spans="1:23" ht="23.25" customHeight="1">
      <c r="A72" s="132"/>
      <c r="B72" s="129"/>
      <c r="C72" s="76" t="s">
        <v>196</v>
      </c>
      <c r="D72" s="307">
        <v>0</v>
      </c>
      <c r="E72" s="307">
        <v>0</v>
      </c>
      <c r="F72" s="149">
        <f t="shared" si="38"/>
        <v>0</v>
      </c>
      <c r="G72" s="282">
        <f t="shared" si="39"/>
      </c>
      <c r="H72" s="291">
        <v>553832</v>
      </c>
      <c r="I72" s="291">
        <v>584277</v>
      </c>
      <c r="J72" s="149">
        <f t="shared" si="35"/>
        <v>30445</v>
      </c>
      <c r="K72" s="282">
        <f t="shared" si="40"/>
        <v>5.497154371722833</v>
      </c>
      <c r="L72" s="291">
        <v>334171</v>
      </c>
      <c r="M72" s="291">
        <v>96085</v>
      </c>
      <c r="N72" s="149">
        <f t="shared" si="36"/>
        <v>-238086</v>
      </c>
      <c r="O72" s="282">
        <f t="shared" si="41"/>
        <v>-71.24675689991052</v>
      </c>
      <c r="P72" s="291">
        <v>30181</v>
      </c>
      <c r="Q72" s="291">
        <v>23031</v>
      </c>
      <c r="R72" s="149">
        <f t="shared" si="37"/>
        <v>-7150</v>
      </c>
      <c r="S72" s="301">
        <f t="shared" si="42"/>
        <v>-23.690401245816904</v>
      </c>
      <c r="T72" s="368"/>
      <c r="U72" s="309"/>
      <c r="V72" s="309"/>
      <c r="W72" s="355"/>
    </row>
    <row r="73" spans="1:23" ht="23.25" customHeight="1">
      <c r="A73" s="132"/>
      <c r="B73" s="129"/>
      <c r="C73" s="76"/>
      <c r="D73" s="279"/>
      <c r="E73" s="283"/>
      <c r="F73" s="251"/>
      <c r="G73" s="284"/>
      <c r="H73" s="279"/>
      <c r="I73" s="280"/>
      <c r="J73" s="149"/>
      <c r="K73" s="282"/>
      <c r="L73" s="279"/>
      <c r="M73" s="280"/>
      <c r="N73" s="149"/>
      <c r="O73" s="282"/>
      <c r="P73" s="279"/>
      <c r="Q73" s="280"/>
      <c r="R73" s="149"/>
      <c r="S73" s="301"/>
      <c r="T73" s="367"/>
      <c r="U73" s="283"/>
      <c r="V73" s="251"/>
      <c r="W73" s="357"/>
    </row>
    <row r="74" spans="1:23" ht="23.25" customHeight="1">
      <c r="A74" s="132"/>
      <c r="B74" s="128" t="s">
        <v>273</v>
      </c>
      <c r="C74" s="75" t="s">
        <v>135</v>
      </c>
      <c r="D74" s="303"/>
      <c r="E74" s="309"/>
      <c r="F74" s="311"/>
      <c r="G74" s="312"/>
      <c r="H74" s="275">
        <v>7186707</v>
      </c>
      <c r="I74" s="275">
        <v>7548778</v>
      </c>
      <c r="J74" s="249">
        <f>I74-H74</f>
        <v>362071</v>
      </c>
      <c r="K74" s="276">
        <f>_xlfn.IFERROR(J74/H74*100,"")</f>
        <v>5.03806541716533</v>
      </c>
      <c r="L74" s="275">
        <v>310300</v>
      </c>
      <c r="M74" s="275">
        <v>144246</v>
      </c>
      <c r="N74" s="249">
        <f>M74-L74</f>
        <v>-166054</v>
      </c>
      <c r="O74" s="276">
        <f t="shared" si="41"/>
        <v>-53.51401869158878</v>
      </c>
      <c r="P74" s="275">
        <v>18315</v>
      </c>
      <c r="Q74" s="275">
        <v>18419</v>
      </c>
      <c r="R74" s="249">
        <f>Q74-P74</f>
        <v>104</v>
      </c>
      <c r="S74" s="257">
        <f t="shared" si="42"/>
        <v>0.5678405678405678</v>
      </c>
      <c r="T74" s="308">
        <v>73277</v>
      </c>
      <c r="U74" s="308">
        <v>77493</v>
      </c>
      <c r="V74" s="249">
        <f>U74-T74</f>
        <v>4216</v>
      </c>
      <c r="W74" s="278">
        <f>_xlfn.IFERROR(V74/T74*100,"")</f>
        <v>5.753510651364002</v>
      </c>
    </row>
    <row r="75" spans="1:23" ht="23.25" customHeight="1" thickBot="1">
      <c r="A75" s="134"/>
      <c r="B75" s="83"/>
      <c r="C75" s="78"/>
      <c r="D75" s="295"/>
      <c r="E75" s="313"/>
      <c r="F75" s="150"/>
      <c r="G75" s="297"/>
      <c r="H75" s="295"/>
      <c r="I75" s="296"/>
      <c r="J75" s="150"/>
      <c r="K75" s="297"/>
      <c r="L75" s="295"/>
      <c r="M75" s="296"/>
      <c r="N75" s="150"/>
      <c r="O75" s="297"/>
      <c r="P75" s="295"/>
      <c r="Q75" s="296"/>
      <c r="R75" s="150"/>
      <c r="S75" s="314"/>
      <c r="T75" s="369"/>
      <c r="U75" s="313"/>
      <c r="V75" s="150"/>
      <c r="W75" s="298"/>
    </row>
    <row r="76" spans="1:3" ht="13.5" customHeight="1">
      <c r="A76" s="79"/>
      <c r="B76" s="79"/>
      <c r="C76" s="79"/>
    </row>
  </sheetData>
  <sheetProtection/>
  <mergeCells count="8">
    <mergeCell ref="T42:T43"/>
    <mergeCell ref="U42:U43"/>
    <mergeCell ref="V42:V43"/>
    <mergeCell ref="W42:W43"/>
    <mergeCell ref="A4:C6"/>
    <mergeCell ref="E4:E5"/>
    <mergeCell ref="F4:F5"/>
    <mergeCell ref="A41:C43"/>
  </mergeCells>
  <printOptions/>
  <pageMargins left="0.75" right="0.61" top="1" bottom="1" header="0.512" footer="0.512"/>
  <pageSetup horizontalDpi="300" verticalDpi="300" orientation="landscape" paperSize="8" scale="44" r:id="rId1"/>
</worksheet>
</file>

<file path=xl/worksheets/sheet24.xml><?xml version="1.0" encoding="utf-8"?>
<worksheet xmlns="http://schemas.openxmlformats.org/spreadsheetml/2006/main" xmlns:r="http://schemas.openxmlformats.org/officeDocument/2006/relationships">
  <sheetPr codeName="Sheet24"/>
  <dimension ref="A1:J30"/>
  <sheetViews>
    <sheetView zoomScalePageLayoutView="0" workbookViewId="0" topLeftCell="A1">
      <selection activeCell="A1" sqref="A1:F1"/>
    </sheetView>
  </sheetViews>
  <sheetFormatPr defaultColWidth="9.00390625" defaultRowHeight="13.5"/>
  <cols>
    <col min="1" max="1" width="10.625" style="94" customWidth="1"/>
    <col min="2" max="2" width="10.875" style="94" customWidth="1"/>
    <col min="3" max="5" width="13.00390625" style="94" customWidth="1"/>
    <col min="6" max="6" width="12.625" style="94" customWidth="1"/>
    <col min="7" max="7" width="10.875" style="94" customWidth="1"/>
    <col min="8" max="9" width="12.25390625" style="94" customWidth="1"/>
    <col min="10" max="16384" width="9.00390625" style="94" customWidth="1"/>
  </cols>
  <sheetData>
    <row r="1" spans="1:9" ht="26.25" customHeight="1">
      <c r="A1" s="1208" t="s">
        <v>313</v>
      </c>
      <c r="B1" s="1208"/>
      <c r="C1" s="1208"/>
      <c r="D1" s="1208"/>
      <c r="E1" s="1208"/>
      <c r="F1" s="1208"/>
      <c r="G1" s="429"/>
      <c r="I1" s="22"/>
    </row>
    <row r="2" spans="1:9" ht="17.25" customHeight="1" thickBot="1">
      <c r="A2" s="95"/>
      <c r="I2" s="22" t="s">
        <v>285</v>
      </c>
    </row>
    <row r="3" spans="1:9" ht="17.25" customHeight="1">
      <c r="A3" s="1209" t="s">
        <v>286</v>
      </c>
      <c r="B3" s="96" t="s">
        <v>177</v>
      </c>
      <c r="C3" s="1211" t="s">
        <v>287</v>
      </c>
      <c r="D3" s="1212"/>
      <c r="E3" s="1211" t="s">
        <v>288</v>
      </c>
      <c r="F3" s="1212"/>
      <c r="G3" s="96" t="s">
        <v>322</v>
      </c>
      <c r="H3" s="97" t="s">
        <v>212</v>
      </c>
      <c r="I3" s="98" t="s">
        <v>212</v>
      </c>
    </row>
    <row r="4" spans="1:9" ht="17.25" customHeight="1">
      <c r="A4" s="1210"/>
      <c r="B4" s="482" t="s">
        <v>213</v>
      </c>
      <c r="C4" s="483" t="s">
        <v>214</v>
      </c>
      <c r="D4" s="483" t="s">
        <v>215</v>
      </c>
      <c r="E4" s="483" t="s">
        <v>216</v>
      </c>
      <c r="F4" s="483" t="s">
        <v>215</v>
      </c>
      <c r="G4" s="482" t="s">
        <v>213</v>
      </c>
      <c r="H4" s="484" t="s">
        <v>163</v>
      </c>
      <c r="I4" s="485" t="s">
        <v>164</v>
      </c>
    </row>
    <row r="5" spans="1:10" ht="17.25" customHeight="1">
      <c r="A5" s="487" t="s">
        <v>337</v>
      </c>
      <c r="B5" s="262">
        <v>856185.0220264317</v>
      </c>
      <c r="C5" s="262">
        <v>206230.03571157207</v>
      </c>
      <c r="D5" s="262">
        <v>5229659.92292871</v>
      </c>
      <c r="E5" s="262">
        <v>215355.5049738661</v>
      </c>
      <c r="F5" s="262">
        <v>6111356.459330143</v>
      </c>
      <c r="G5" s="486"/>
      <c r="H5" s="262">
        <v>3511.2776509917367</v>
      </c>
      <c r="I5" s="488">
        <v>2878.23973130928</v>
      </c>
      <c r="J5" s="427"/>
    </row>
    <row r="6" spans="1:9" ht="17.25" customHeight="1">
      <c r="A6" s="487" t="s">
        <v>338</v>
      </c>
      <c r="B6" s="486"/>
      <c r="C6" s="262">
        <v>421830.604789609</v>
      </c>
      <c r="D6" s="262">
        <v>9116228.07017544</v>
      </c>
      <c r="E6" s="262">
        <v>405858.99322932</v>
      </c>
      <c r="F6" s="262">
        <v>10687620.15503876</v>
      </c>
      <c r="G6" s="262">
        <v>1376387.453874539</v>
      </c>
      <c r="H6" s="262">
        <v>15060.278104864852</v>
      </c>
      <c r="I6" s="488">
        <v>8143.048039903153</v>
      </c>
    </row>
    <row r="7" spans="1:9" ht="17.25" customHeight="1">
      <c r="A7" s="489" t="s">
        <v>339</v>
      </c>
      <c r="B7" s="262">
        <v>2337300</v>
      </c>
      <c r="C7" s="262">
        <v>614712.1548714694</v>
      </c>
      <c r="D7" s="262">
        <v>9402708.737864077</v>
      </c>
      <c r="E7" s="262">
        <v>727463.38028169</v>
      </c>
      <c r="F7" s="262">
        <v>17810310.34482759</v>
      </c>
      <c r="G7" s="262">
        <v>983786.8852459016</v>
      </c>
      <c r="H7" s="262">
        <v>16994.1567743125</v>
      </c>
      <c r="I7" s="488">
        <v>6412.954374618843</v>
      </c>
    </row>
    <row r="8" spans="1:9" ht="17.25" customHeight="1">
      <c r="A8" s="487" t="s">
        <v>340</v>
      </c>
      <c r="B8" s="262">
        <v>1204750</v>
      </c>
      <c r="C8" s="262">
        <v>425552.4528301887</v>
      </c>
      <c r="D8" s="262">
        <v>5812958.762886599</v>
      </c>
      <c r="E8" s="262">
        <v>577851.6483516484</v>
      </c>
      <c r="F8" s="262">
        <v>12019314.285714287</v>
      </c>
      <c r="G8" s="486"/>
      <c r="H8" s="262">
        <v>36695.74494791013</v>
      </c>
      <c r="I8" s="488">
        <v>7486.09890799548</v>
      </c>
    </row>
    <row r="9" spans="1:9" ht="17.25" customHeight="1">
      <c r="A9" s="487" t="s">
        <v>341</v>
      </c>
      <c r="B9" s="262">
        <v>1561638.2978723405</v>
      </c>
      <c r="C9" s="262">
        <v>306141.7194864294</v>
      </c>
      <c r="D9" s="262">
        <v>7081541.353383459</v>
      </c>
      <c r="E9" s="262">
        <v>325309.72584856395</v>
      </c>
      <c r="F9" s="262">
        <v>8170073.770491803</v>
      </c>
      <c r="G9" s="486"/>
      <c r="H9" s="262">
        <v>16237.6362583311</v>
      </c>
      <c r="I9" s="488">
        <v>5585.9994294655135</v>
      </c>
    </row>
    <row r="10" spans="1:9" ht="17.25" customHeight="1">
      <c r="A10" s="487" t="s">
        <v>342</v>
      </c>
      <c r="B10" s="262">
        <v>980444.4444444445</v>
      </c>
      <c r="C10" s="262">
        <v>389287.13752001425</v>
      </c>
      <c r="D10" s="262">
        <v>7035958.199356914</v>
      </c>
      <c r="E10" s="262">
        <v>308294.76064832264</v>
      </c>
      <c r="F10" s="262">
        <v>7174614.03508772</v>
      </c>
      <c r="G10" s="262">
        <v>1396026.3157894737</v>
      </c>
      <c r="H10" s="262">
        <v>10629.673902648943</v>
      </c>
      <c r="I10" s="488">
        <v>3329.3870134837907</v>
      </c>
    </row>
    <row r="11" spans="1:9" ht="17.25" customHeight="1">
      <c r="A11" s="487" t="s">
        <v>343</v>
      </c>
      <c r="B11" s="262">
        <v>2019770.8333333333</v>
      </c>
      <c r="C11" s="262">
        <v>897694.4444444445</v>
      </c>
      <c r="D11" s="262">
        <v>16735589.285714285</v>
      </c>
      <c r="E11" s="262">
        <v>937068.1596884128</v>
      </c>
      <c r="F11" s="262">
        <v>19640183.673469387</v>
      </c>
      <c r="G11" s="486"/>
      <c r="H11" s="262">
        <v>26849.27407187554</v>
      </c>
      <c r="I11" s="488">
        <v>10563.107516509608</v>
      </c>
    </row>
    <row r="12" spans="1:9" ht="17.25" customHeight="1">
      <c r="A12" s="487" t="s">
        <v>344</v>
      </c>
      <c r="B12" s="262">
        <v>1811338.7096774192</v>
      </c>
      <c r="C12" s="262">
        <v>393948.00420168065</v>
      </c>
      <c r="D12" s="262">
        <v>7979542.55319149</v>
      </c>
      <c r="E12" s="262">
        <v>478990.099009901</v>
      </c>
      <c r="F12" s="262">
        <v>11767621.621621622</v>
      </c>
      <c r="G12" s="262">
        <v>2182100</v>
      </c>
      <c r="H12" s="262">
        <v>8528.561243405105</v>
      </c>
      <c r="I12" s="488">
        <v>3964.5515471267645</v>
      </c>
    </row>
    <row r="13" spans="1:9" ht="17.25" customHeight="1">
      <c r="A13" s="489" t="s">
        <v>345</v>
      </c>
      <c r="B13" s="262">
        <v>880853.1073446329</v>
      </c>
      <c r="C13" s="262">
        <v>518838.27683615824</v>
      </c>
      <c r="D13" s="262">
        <v>10251279.069767443</v>
      </c>
      <c r="E13" s="262">
        <v>446736.31386861316</v>
      </c>
      <c r="F13" s="262">
        <v>11255701.149425287</v>
      </c>
      <c r="G13" s="262">
        <v>51553.63321799308</v>
      </c>
      <c r="H13" s="262">
        <v>12052.077522012274</v>
      </c>
      <c r="I13" s="488">
        <v>9389.441385499793</v>
      </c>
    </row>
    <row r="14" spans="1:9" ht="17.25" customHeight="1">
      <c r="A14" s="487" t="s">
        <v>346</v>
      </c>
      <c r="B14" s="262">
        <v>1441076.923076923</v>
      </c>
      <c r="C14" s="262">
        <v>975581.4696485624</v>
      </c>
      <c r="D14" s="262">
        <v>15267850</v>
      </c>
      <c r="E14" s="262">
        <v>1017456.0185185184</v>
      </c>
      <c r="F14" s="262">
        <v>22540564.1025641</v>
      </c>
      <c r="G14" s="486"/>
      <c r="H14" s="262">
        <v>32937.12456080698</v>
      </c>
      <c r="I14" s="488">
        <v>4987.815935622804</v>
      </c>
    </row>
    <row r="15" spans="1:9" ht="17.25" customHeight="1">
      <c r="A15" s="487" t="s">
        <v>347</v>
      </c>
      <c r="B15" s="262">
        <v>1014157.3033707865</v>
      </c>
      <c r="C15" s="262">
        <v>498754.48430493276</v>
      </c>
      <c r="D15" s="262">
        <v>10111113.636363637</v>
      </c>
      <c r="E15" s="262">
        <v>499498.86621315195</v>
      </c>
      <c r="F15" s="262">
        <v>13767437.5</v>
      </c>
      <c r="G15" s="486"/>
      <c r="H15" s="262">
        <v>7065.973551674373</v>
      </c>
      <c r="I15" s="488">
        <v>6102.906959620652</v>
      </c>
    </row>
    <row r="16" spans="1:9" ht="17.25" customHeight="1">
      <c r="A16" s="487" t="s">
        <v>348</v>
      </c>
      <c r="B16" s="486"/>
      <c r="C16" s="262">
        <v>520361.38613861386</v>
      </c>
      <c r="D16" s="262">
        <v>5005380.952380952</v>
      </c>
      <c r="E16" s="262">
        <v>730763.6363636364</v>
      </c>
      <c r="F16" s="262">
        <v>8038400</v>
      </c>
      <c r="G16" s="486"/>
      <c r="H16" s="262">
        <v>15634.645181282925</v>
      </c>
      <c r="I16" s="488">
        <v>35190.57948559034</v>
      </c>
    </row>
    <row r="17" spans="1:9" ht="17.25" customHeight="1">
      <c r="A17" s="494" t="s">
        <v>349</v>
      </c>
      <c r="B17" s="262">
        <v>2583283.3333333335</v>
      </c>
      <c r="C17" s="262">
        <v>1147485.829959514</v>
      </c>
      <c r="D17" s="262">
        <v>7660243.243243244</v>
      </c>
      <c r="E17" s="262">
        <v>837421.4285714285</v>
      </c>
      <c r="F17" s="262">
        <v>11723900</v>
      </c>
      <c r="G17" s="486"/>
      <c r="H17" s="262">
        <v>35642.652866675744</v>
      </c>
      <c r="I17" s="488">
        <v>23895.138226882747</v>
      </c>
    </row>
    <row r="18" spans="1:9" ht="17.25" customHeight="1">
      <c r="A18" s="487" t="s">
        <v>350</v>
      </c>
      <c r="B18" s="262">
        <v>943662.6506024096</v>
      </c>
      <c r="C18" s="262">
        <v>364537.321937322</v>
      </c>
      <c r="D18" s="262">
        <v>9010746.47887324</v>
      </c>
      <c r="E18" s="262">
        <v>1710904.214559387</v>
      </c>
      <c r="F18" s="262">
        <v>44654600</v>
      </c>
      <c r="G18" s="486"/>
      <c r="H18" s="262">
        <v>7992.341688876894</v>
      </c>
      <c r="I18" s="488">
        <v>5270.335008940319</v>
      </c>
    </row>
    <row r="19" spans="1:9" ht="17.25" customHeight="1">
      <c r="A19" s="487" t="s">
        <v>351</v>
      </c>
      <c r="B19" s="262">
        <v>1252432.8358208954</v>
      </c>
      <c r="C19" s="262">
        <v>630360.873694207</v>
      </c>
      <c r="D19" s="262">
        <v>14429782.608695652</v>
      </c>
      <c r="E19" s="262">
        <v>439973.4219269103</v>
      </c>
      <c r="F19" s="262">
        <v>13243200</v>
      </c>
      <c r="G19" s="262">
        <v>1240129.411764706</v>
      </c>
      <c r="H19" s="262">
        <v>11225.6028958568</v>
      </c>
      <c r="I19" s="488">
        <v>7984.248887149635</v>
      </c>
    </row>
    <row r="20" spans="1:9" ht="17.25" customHeight="1">
      <c r="A20" s="487" t="s">
        <v>352</v>
      </c>
      <c r="B20" s="262">
        <v>1583707.3170731708</v>
      </c>
      <c r="C20" s="262">
        <v>634398.3516483516</v>
      </c>
      <c r="D20" s="262">
        <v>8247178.571428571</v>
      </c>
      <c r="E20" s="262">
        <v>770483.606557377</v>
      </c>
      <c r="F20" s="262">
        <v>12260739.130434781</v>
      </c>
      <c r="G20" s="262">
        <v>439234.0425531915</v>
      </c>
      <c r="H20" s="262">
        <v>39927.12975098296</v>
      </c>
      <c r="I20" s="488">
        <v>9976.015727391876</v>
      </c>
    </row>
    <row r="21" spans="1:9" ht="17.25" customHeight="1">
      <c r="A21" s="487" t="s">
        <v>353</v>
      </c>
      <c r="B21" s="486"/>
      <c r="C21" s="262">
        <v>397039.0070921986</v>
      </c>
      <c r="D21" s="262">
        <v>4146851.851851852</v>
      </c>
      <c r="E21" s="262">
        <v>719600</v>
      </c>
      <c r="F21" s="262">
        <v>11513600</v>
      </c>
      <c r="G21" s="486"/>
      <c r="H21" s="262">
        <v>51407.71812080537</v>
      </c>
      <c r="I21" s="488">
        <v>22083.892617449663</v>
      </c>
    </row>
    <row r="22" spans="1:9" ht="17.25" customHeight="1">
      <c r="A22" s="487" t="s">
        <v>354</v>
      </c>
      <c r="B22" s="486"/>
      <c r="C22" s="262">
        <v>669132.8125</v>
      </c>
      <c r="D22" s="262">
        <v>7137416.666666667</v>
      </c>
      <c r="E22" s="262">
        <v>1229153.8461538462</v>
      </c>
      <c r="F22" s="262">
        <v>23968500</v>
      </c>
      <c r="G22" s="486"/>
      <c r="H22" s="262">
        <v>25690.586630286492</v>
      </c>
      <c r="I22" s="488">
        <v>17030.286493860847</v>
      </c>
    </row>
    <row r="23" spans="1:9" ht="17.25" customHeight="1">
      <c r="A23" s="487" t="s">
        <v>355</v>
      </c>
      <c r="B23" s="486"/>
      <c r="C23" s="262">
        <v>752151.1936339523</v>
      </c>
      <c r="D23" s="262">
        <v>7462131.578947368</v>
      </c>
      <c r="E23" s="262">
        <v>926045</v>
      </c>
      <c r="F23" s="262">
        <v>15434083.333333334</v>
      </c>
      <c r="G23" s="486"/>
      <c r="H23" s="262">
        <v>21399.418725347725</v>
      </c>
      <c r="I23" s="488">
        <v>12673.344405231472</v>
      </c>
    </row>
    <row r="24" spans="1:9" ht="17.25" customHeight="1">
      <c r="A24" s="487" t="s">
        <v>356</v>
      </c>
      <c r="B24" s="262">
        <v>1394518.5185185184</v>
      </c>
      <c r="C24" s="262">
        <v>813166.1931818181</v>
      </c>
      <c r="D24" s="262">
        <v>9702864.406779662</v>
      </c>
      <c r="E24" s="262">
        <v>702513.4474327628</v>
      </c>
      <c r="F24" s="262">
        <v>11972000</v>
      </c>
      <c r="G24" s="486"/>
      <c r="H24" s="262">
        <v>16636.494105586877</v>
      </c>
      <c r="I24" s="488">
        <v>18020.45105074321</v>
      </c>
    </row>
    <row r="25" spans="1:9" ht="17.25" customHeight="1" thickBot="1">
      <c r="A25" s="490" t="s">
        <v>357</v>
      </c>
      <c r="B25" s="491"/>
      <c r="C25" s="492">
        <v>1894333.3333333333</v>
      </c>
      <c r="D25" s="492">
        <v>11366000</v>
      </c>
      <c r="E25" s="492">
        <v>1727714.2857142857</v>
      </c>
      <c r="F25" s="492">
        <v>4031333.3333333335</v>
      </c>
      <c r="G25" s="491"/>
      <c r="H25" s="491"/>
      <c r="I25" s="493"/>
    </row>
    <row r="26" spans="1:9" ht="17.25" customHeight="1">
      <c r="A26" s="1205" t="s">
        <v>217</v>
      </c>
      <c r="B26" s="1206"/>
      <c r="C26" s="1206"/>
      <c r="D26" s="1206"/>
      <c r="E26" s="1206"/>
      <c r="F26" s="1206"/>
      <c r="G26" s="1206"/>
      <c r="H26" s="1206"/>
      <c r="I26" s="1206"/>
    </row>
    <row r="27" spans="1:9" ht="17.25" customHeight="1">
      <c r="A27" s="1207"/>
      <c r="B27" s="1207"/>
      <c r="C27" s="1207"/>
      <c r="D27" s="1207"/>
      <c r="E27" s="1207"/>
      <c r="F27" s="1207"/>
      <c r="G27" s="1207"/>
      <c r="H27" s="1207"/>
      <c r="I27" s="1207"/>
    </row>
    <row r="28" ht="17.25" customHeight="1"/>
    <row r="29" spans="1:9" ht="17.25" customHeight="1">
      <c r="A29" s="94" t="s">
        <v>289</v>
      </c>
      <c r="B29" s="99" t="s">
        <v>290</v>
      </c>
      <c r="C29" s="99" t="s">
        <v>275</v>
      </c>
      <c r="D29" s="99" t="s">
        <v>289</v>
      </c>
      <c r="E29" s="99" t="s">
        <v>289</v>
      </c>
      <c r="F29" s="99" t="s">
        <v>289</v>
      </c>
      <c r="G29" s="99" t="s">
        <v>290</v>
      </c>
      <c r="H29" s="99" t="s">
        <v>289</v>
      </c>
      <c r="I29" s="99" t="s">
        <v>289</v>
      </c>
    </row>
    <row r="30" ht="17.25" customHeight="1">
      <c r="D30" s="94" t="s">
        <v>289</v>
      </c>
    </row>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9.5" customHeight="1"/>
  </sheetData>
  <sheetProtection/>
  <mergeCells count="5">
    <mergeCell ref="A26:I27"/>
    <mergeCell ref="A1:F1"/>
    <mergeCell ref="A3:A4"/>
    <mergeCell ref="C3:D3"/>
    <mergeCell ref="E3:F3"/>
  </mergeCells>
  <printOptions/>
  <pageMargins left="1.25" right="0.75" top="1" bottom="1" header="0.512" footer="0.512"/>
  <pageSetup horizontalDpi="300" verticalDpi="300" orientation="landscape" paperSize="9" r:id="rId1"/>
</worksheet>
</file>

<file path=xl/worksheets/sheet25.xml><?xml version="1.0" encoding="utf-8"?>
<worksheet xmlns="http://schemas.openxmlformats.org/spreadsheetml/2006/main" xmlns:r="http://schemas.openxmlformats.org/officeDocument/2006/relationships">
  <sheetPr codeName="Sheet25"/>
  <dimension ref="A1:N28"/>
  <sheetViews>
    <sheetView zoomScalePageLayoutView="0" workbookViewId="0" topLeftCell="A1">
      <selection activeCell="A1" sqref="A1:G1"/>
    </sheetView>
  </sheetViews>
  <sheetFormatPr defaultColWidth="9.00390625" defaultRowHeight="13.5"/>
  <cols>
    <col min="1" max="1" width="3.875" style="101" customWidth="1"/>
    <col min="2" max="2" width="2.00390625" style="101" customWidth="1"/>
    <col min="3" max="3" width="26.00390625" style="101" customWidth="1"/>
    <col min="4" max="4" width="12.75390625" style="101" bestFit="1" customWidth="1"/>
    <col min="5" max="5" width="11.625" style="101" bestFit="1" customWidth="1"/>
    <col min="6" max="8" width="11.50390625" style="101" customWidth="1"/>
    <col min="9" max="9" width="11.125" style="101" bestFit="1" customWidth="1"/>
    <col min="10" max="10" width="9.875" style="101" customWidth="1"/>
    <col min="11" max="11" width="12.00390625" style="101" customWidth="1"/>
    <col min="12" max="14" width="11.625" style="101" bestFit="1" customWidth="1"/>
    <col min="15" max="16384" width="9.00390625" style="101" customWidth="1"/>
  </cols>
  <sheetData>
    <row r="1" spans="1:13" ht="21" customHeight="1">
      <c r="A1" s="1222" t="s">
        <v>314</v>
      </c>
      <c r="B1" s="1222"/>
      <c r="C1" s="1222"/>
      <c r="D1" s="1222"/>
      <c r="E1" s="1222"/>
      <c r="F1" s="1222"/>
      <c r="G1" s="1222"/>
      <c r="H1" s="100"/>
      <c r="I1" s="100"/>
      <c r="J1" s="100"/>
      <c r="K1" s="100"/>
      <c r="L1" s="100"/>
      <c r="M1" s="100"/>
    </row>
    <row r="2" spans="1:13" ht="21" customHeight="1" thickBot="1">
      <c r="A2" s="100"/>
      <c r="B2" s="100"/>
      <c r="C2" s="100"/>
      <c r="D2" s="254"/>
      <c r="E2" s="254"/>
      <c r="F2" s="100"/>
      <c r="G2" s="100"/>
      <c r="H2" s="100"/>
      <c r="I2" s="100"/>
      <c r="J2" s="100"/>
      <c r="K2" s="100"/>
      <c r="L2" s="100"/>
      <c r="M2" s="256" t="s">
        <v>218</v>
      </c>
    </row>
    <row r="3" spans="1:13" ht="21.75" customHeight="1">
      <c r="A3" s="1111" t="s">
        <v>219</v>
      </c>
      <c r="B3" s="1112"/>
      <c r="C3" s="1113"/>
      <c r="D3" s="1143" t="s">
        <v>220</v>
      </c>
      <c r="E3" s="1048" t="s">
        <v>133</v>
      </c>
      <c r="F3" s="1049"/>
      <c r="G3" s="1049"/>
      <c r="H3" s="1049"/>
      <c r="I3" s="1053" t="s">
        <v>107</v>
      </c>
      <c r="J3" s="1081" t="s">
        <v>265</v>
      </c>
      <c r="K3" s="1219" t="s">
        <v>291</v>
      </c>
      <c r="L3" s="1220"/>
      <c r="M3" s="1221"/>
    </row>
    <row r="4" spans="1:13" ht="21.75" customHeight="1" thickBot="1">
      <c r="A4" s="1114"/>
      <c r="B4" s="1115"/>
      <c r="C4" s="1116"/>
      <c r="D4" s="1107"/>
      <c r="E4" s="54" t="s">
        <v>135</v>
      </c>
      <c r="F4" s="183" t="s">
        <v>292</v>
      </c>
      <c r="G4" s="183" t="s">
        <v>263</v>
      </c>
      <c r="H4" s="184" t="s">
        <v>293</v>
      </c>
      <c r="I4" s="1107"/>
      <c r="J4" s="1120"/>
      <c r="K4" s="55" t="s">
        <v>136</v>
      </c>
      <c r="L4" s="47" t="s">
        <v>137</v>
      </c>
      <c r="M4" s="48" t="s">
        <v>138</v>
      </c>
    </row>
    <row r="5" spans="1:14" ht="22.5" customHeight="1">
      <c r="A5" s="1101" t="s">
        <v>221</v>
      </c>
      <c r="B5" s="102" t="s">
        <v>222</v>
      </c>
      <c r="C5" s="102"/>
      <c r="D5" s="385">
        <f>E5+I5+J5</f>
        <v>3033961</v>
      </c>
      <c r="E5" s="385">
        <f>SUM(F5:H5)</f>
        <v>2966961</v>
      </c>
      <c r="F5" s="385">
        <f aca="true" t="shared" si="0" ref="F5:M5">SUM(F6:F13)</f>
        <v>425094</v>
      </c>
      <c r="G5" s="385">
        <f t="shared" si="0"/>
        <v>2541867</v>
      </c>
      <c r="H5" s="385">
        <f t="shared" si="0"/>
        <v>0</v>
      </c>
      <c r="I5" s="385">
        <f t="shared" si="0"/>
        <v>67000</v>
      </c>
      <c r="J5" s="385">
        <f t="shared" si="0"/>
        <v>0</v>
      </c>
      <c r="K5" s="385">
        <f t="shared" si="0"/>
        <v>2541830</v>
      </c>
      <c r="L5" s="385">
        <f t="shared" si="0"/>
        <v>492131</v>
      </c>
      <c r="M5" s="386">
        <f t="shared" si="0"/>
        <v>0</v>
      </c>
      <c r="N5" s="170"/>
    </row>
    <row r="6" spans="1:14" ht="22.5" customHeight="1">
      <c r="A6" s="1102"/>
      <c r="B6" s="1215"/>
      <c r="C6" s="103"/>
      <c r="D6" s="389"/>
      <c r="E6" s="389"/>
      <c r="F6" s="389"/>
      <c r="G6" s="389"/>
      <c r="H6" s="389"/>
      <c r="I6" s="389"/>
      <c r="J6" s="389"/>
      <c r="K6" s="389"/>
      <c r="L6" s="389"/>
      <c r="M6" s="390"/>
      <c r="N6" s="170"/>
    </row>
    <row r="7" spans="1:14" ht="22.5" customHeight="1">
      <c r="A7" s="1102"/>
      <c r="B7" s="1216"/>
      <c r="C7" s="103"/>
      <c r="D7" s="389"/>
      <c r="E7" s="389"/>
      <c r="F7" s="389"/>
      <c r="G7" s="389"/>
      <c r="H7" s="389"/>
      <c r="I7" s="389"/>
      <c r="J7" s="389"/>
      <c r="K7" s="389"/>
      <c r="L7" s="389"/>
      <c r="M7" s="390"/>
      <c r="N7" s="170"/>
    </row>
    <row r="8" spans="1:14" ht="22.5" customHeight="1">
      <c r="A8" s="1102"/>
      <c r="B8" s="1216"/>
      <c r="C8" s="103"/>
      <c r="D8" s="389"/>
      <c r="E8" s="389"/>
      <c r="F8" s="389"/>
      <c r="G8" s="389"/>
      <c r="H8" s="389"/>
      <c r="I8" s="389"/>
      <c r="J8" s="389"/>
      <c r="K8" s="389"/>
      <c r="L8" s="389"/>
      <c r="M8" s="390"/>
      <c r="N8" s="170"/>
    </row>
    <row r="9" spans="1:14" ht="22.5" customHeight="1">
      <c r="A9" s="1102"/>
      <c r="B9" s="1216"/>
      <c r="C9" s="104" t="s">
        <v>223</v>
      </c>
      <c r="D9" s="391">
        <f aca="true" t="shared" si="1" ref="D9:D24">E9+I9+J9</f>
        <v>1165824</v>
      </c>
      <c r="E9" s="391">
        <f aca="true" t="shared" si="2" ref="E9:E24">SUM(F9:H9)</f>
        <v>1165824</v>
      </c>
      <c r="F9" s="391">
        <v>144625</v>
      </c>
      <c r="G9" s="391">
        <v>1021199</v>
      </c>
      <c r="H9" s="391">
        <v>0</v>
      </c>
      <c r="I9" s="391">
        <v>0</v>
      </c>
      <c r="J9" s="391">
        <v>0</v>
      </c>
      <c r="K9" s="391">
        <v>1155225</v>
      </c>
      <c r="L9" s="391">
        <v>10599</v>
      </c>
      <c r="M9" s="392">
        <v>0</v>
      </c>
      <c r="N9" s="170"/>
    </row>
    <row r="10" spans="1:14" ht="22.5" customHeight="1">
      <c r="A10" s="1102"/>
      <c r="B10" s="1216"/>
      <c r="C10" s="104" t="s">
        <v>224</v>
      </c>
      <c r="D10" s="391">
        <f t="shared" si="1"/>
        <v>573593</v>
      </c>
      <c r="E10" s="391">
        <f t="shared" si="2"/>
        <v>506593</v>
      </c>
      <c r="F10" s="391">
        <v>182303</v>
      </c>
      <c r="G10" s="391">
        <v>324290</v>
      </c>
      <c r="H10" s="391">
        <v>0</v>
      </c>
      <c r="I10" s="391">
        <v>67000</v>
      </c>
      <c r="J10" s="391">
        <v>0</v>
      </c>
      <c r="K10" s="391">
        <v>227534</v>
      </c>
      <c r="L10" s="391">
        <v>346059</v>
      </c>
      <c r="M10" s="392">
        <v>0</v>
      </c>
      <c r="N10" s="170"/>
    </row>
    <row r="11" spans="1:14" ht="22.5" customHeight="1">
      <c r="A11" s="1102"/>
      <c r="B11" s="1216"/>
      <c r="C11" s="104" t="s">
        <v>333</v>
      </c>
      <c r="D11" s="391">
        <f t="shared" si="1"/>
        <v>80246</v>
      </c>
      <c r="E11" s="391">
        <f t="shared" si="2"/>
        <v>80246</v>
      </c>
      <c r="F11" s="391">
        <v>0</v>
      </c>
      <c r="G11" s="391">
        <v>80246</v>
      </c>
      <c r="H11" s="391">
        <v>0</v>
      </c>
      <c r="I11" s="391">
        <v>0</v>
      </c>
      <c r="J11" s="391">
        <v>0</v>
      </c>
      <c r="K11" s="391">
        <v>79520</v>
      </c>
      <c r="L11" s="391">
        <v>726</v>
      </c>
      <c r="M11" s="392">
        <v>0</v>
      </c>
      <c r="N11" s="170"/>
    </row>
    <row r="12" spans="1:14" ht="22.5" customHeight="1">
      <c r="A12" s="1102"/>
      <c r="B12" s="1216"/>
      <c r="C12" s="104" t="s">
        <v>226</v>
      </c>
      <c r="D12" s="391">
        <f t="shared" si="1"/>
        <v>248323</v>
      </c>
      <c r="E12" s="391">
        <f t="shared" si="2"/>
        <v>248323</v>
      </c>
      <c r="F12" s="391">
        <v>0</v>
      </c>
      <c r="G12" s="391">
        <v>248323</v>
      </c>
      <c r="H12" s="391">
        <v>0</v>
      </c>
      <c r="I12" s="391">
        <v>0</v>
      </c>
      <c r="J12" s="391">
        <v>0</v>
      </c>
      <c r="K12" s="391">
        <v>248323</v>
      </c>
      <c r="L12" s="391">
        <v>0</v>
      </c>
      <c r="M12" s="392">
        <v>0</v>
      </c>
      <c r="N12" s="170"/>
    </row>
    <row r="13" spans="1:14" ht="22.5" customHeight="1" thickBot="1">
      <c r="A13" s="1103"/>
      <c r="B13" s="1217"/>
      <c r="C13" s="384" t="s">
        <v>227</v>
      </c>
      <c r="D13" s="393">
        <f t="shared" si="1"/>
        <v>965975</v>
      </c>
      <c r="E13" s="393">
        <f t="shared" si="2"/>
        <v>965975</v>
      </c>
      <c r="F13" s="393">
        <v>98166</v>
      </c>
      <c r="G13" s="393">
        <v>867809</v>
      </c>
      <c r="H13" s="393">
        <v>0</v>
      </c>
      <c r="I13" s="393">
        <v>0</v>
      </c>
      <c r="J13" s="393">
        <v>0</v>
      </c>
      <c r="K13" s="393">
        <v>831228</v>
      </c>
      <c r="L13" s="393">
        <v>134747</v>
      </c>
      <c r="M13" s="394">
        <v>0</v>
      </c>
      <c r="N13" s="170"/>
    </row>
    <row r="14" spans="1:13" ht="22.5" customHeight="1" thickTop="1">
      <c r="A14" s="1096" t="s">
        <v>240</v>
      </c>
      <c r="B14" s="105" t="s">
        <v>229</v>
      </c>
      <c r="C14" s="105"/>
      <c r="D14" s="395">
        <f>E14+I14+J14</f>
        <v>2030354</v>
      </c>
      <c r="E14" s="395">
        <f>SUM(F14:H14)</f>
        <v>2030354</v>
      </c>
      <c r="F14" s="395">
        <f>SUM(F15:F24)</f>
        <v>33646</v>
      </c>
      <c r="G14" s="395">
        <f>SUM(G15:G24)</f>
        <v>1996708</v>
      </c>
      <c r="H14" s="395">
        <f aca="true" t="shared" si="3" ref="H14:M14">SUM(H15:H24)</f>
        <v>0</v>
      </c>
      <c r="I14" s="395">
        <f t="shared" si="3"/>
        <v>0</v>
      </c>
      <c r="J14" s="395">
        <f t="shared" si="3"/>
        <v>0</v>
      </c>
      <c r="K14" s="395">
        <f t="shared" si="3"/>
        <v>1796438</v>
      </c>
      <c r="L14" s="395">
        <f t="shared" si="3"/>
        <v>228222</v>
      </c>
      <c r="M14" s="396">
        <f t="shared" si="3"/>
        <v>5694</v>
      </c>
    </row>
    <row r="15" spans="1:13" ht="22.5" customHeight="1">
      <c r="A15" s="1096"/>
      <c r="B15" s="1215"/>
      <c r="C15" s="104" t="s">
        <v>230</v>
      </c>
      <c r="D15" s="391">
        <f t="shared" si="1"/>
        <v>0</v>
      </c>
      <c r="E15" s="391">
        <f>SUM(F15:H15)</f>
        <v>0</v>
      </c>
      <c r="F15" s="391">
        <f>'表２１－２'!I26</f>
        <v>0</v>
      </c>
      <c r="G15" s="391">
        <f>'表２１－２'!M26</f>
        <v>0</v>
      </c>
      <c r="H15" s="391">
        <f>'表２１－２'!Q26</f>
        <v>0</v>
      </c>
      <c r="I15" s="391">
        <f>'表２１－２'!U26</f>
        <v>0</v>
      </c>
      <c r="J15" s="391">
        <f>'表２１－２'!Y26</f>
        <v>0</v>
      </c>
      <c r="K15" s="391">
        <f>'表２１－２'!I63</f>
        <v>0</v>
      </c>
      <c r="L15" s="391">
        <f>'表２１－２'!M63</f>
        <v>0</v>
      </c>
      <c r="M15" s="392">
        <f>'表２１－２'!Q63</f>
        <v>0</v>
      </c>
    </row>
    <row r="16" spans="1:13" ht="22.5" customHeight="1">
      <c r="A16" s="1096"/>
      <c r="B16" s="1216"/>
      <c r="C16" s="104" t="s">
        <v>231</v>
      </c>
      <c r="D16" s="391">
        <f t="shared" si="1"/>
        <v>187367</v>
      </c>
      <c r="E16" s="391">
        <f t="shared" si="2"/>
        <v>187367</v>
      </c>
      <c r="F16" s="391">
        <f>'表２１－２'!I27</f>
        <v>0</v>
      </c>
      <c r="G16" s="391">
        <f>'表２１－２'!M27</f>
        <v>187367</v>
      </c>
      <c r="H16" s="391">
        <f>'表２１－２'!Q27</f>
        <v>0</v>
      </c>
      <c r="I16" s="391">
        <f>'表２１－２'!U27</f>
        <v>0</v>
      </c>
      <c r="J16" s="391">
        <f>'表２１－２'!Y27</f>
        <v>0</v>
      </c>
      <c r="K16" s="391">
        <f>'表２１－２'!I64</f>
        <v>154780</v>
      </c>
      <c r="L16" s="391">
        <f>'表２１－２'!M64</f>
        <v>32587</v>
      </c>
      <c r="M16" s="392">
        <f>'表２１－２'!Q64</f>
        <v>0</v>
      </c>
    </row>
    <row r="17" spans="1:13" ht="22.5" customHeight="1">
      <c r="A17" s="1096"/>
      <c r="B17" s="1216"/>
      <c r="C17" s="104" t="s">
        <v>232</v>
      </c>
      <c r="D17" s="391">
        <f t="shared" si="1"/>
        <v>1512357</v>
      </c>
      <c r="E17" s="391">
        <f t="shared" si="2"/>
        <v>1512357</v>
      </c>
      <c r="F17" s="391">
        <f>'表２１－２'!I28</f>
        <v>2299</v>
      </c>
      <c r="G17" s="391">
        <f>'表２１－２'!M28</f>
        <v>1510058</v>
      </c>
      <c r="H17" s="391">
        <f>'表２１－２'!Q28</f>
        <v>0</v>
      </c>
      <c r="I17" s="391">
        <f>'表２１－２'!U28</f>
        <v>0</v>
      </c>
      <c r="J17" s="391">
        <f>'表２１－２'!Y28</f>
        <v>0</v>
      </c>
      <c r="K17" s="391">
        <f>'表２１－２'!I65</f>
        <v>1311028</v>
      </c>
      <c r="L17" s="391">
        <f>'表２１－２'!M65</f>
        <v>195635</v>
      </c>
      <c r="M17" s="392">
        <f>'表２１－２'!Q65</f>
        <v>5694</v>
      </c>
    </row>
    <row r="18" spans="1:13" ht="22.5" customHeight="1">
      <c r="A18" s="1096"/>
      <c r="B18" s="1216"/>
      <c r="C18" s="104" t="s">
        <v>223</v>
      </c>
      <c r="D18" s="391">
        <f t="shared" si="1"/>
        <v>0</v>
      </c>
      <c r="E18" s="391">
        <f t="shared" si="2"/>
        <v>0</v>
      </c>
      <c r="F18" s="391">
        <f>'表２１－２'!I29</f>
        <v>0</v>
      </c>
      <c r="G18" s="391">
        <f>'表２１－２'!M29</f>
        <v>0</v>
      </c>
      <c r="H18" s="391">
        <f>'表２１－２'!Q29</f>
        <v>0</v>
      </c>
      <c r="I18" s="391">
        <f>'表２１－２'!U29</f>
        <v>0</v>
      </c>
      <c r="J18" s="391">
        <f>'表２１－２'!Y29</f>
        <v>0</v>
      </c>
      <c r="K18" s="391">
        <f>'表２１－２'!I66</f>
        <v>0</v>
      </c>
      <c r="L18" s="391">
        <f>'表２１－２'!M66</f>
        <v>0</v>
      </c>
      <c r="M18" s="392">
        <f>'表２１－２'!Q66</f>
        <v>0</v>
      </c>
    </row>
    <row r="19" spans="1:13" ht="22.5" customHeight="1">
      <c r="A19" s="1096"/>
      <c r="B19" s="1216"/>
      <c r="C19" s="104" t="s">
        <v>224</v>
      </c>
      <c r="D19" s="391">
        <f t="shared" si="1"/>
        <v>37791</v>
      </c>
      <c r="E19" s="391">
        <f t="shared" si="2"/>
        <v>37791</v>
      </c>
      <c r="F19" s="391">
        <f>'表２１－２'!I30</f>
        <v>0</v>
      </c>
      <c r="G19" s="391">
        <f>'表２１－２'!M30</f>
        <v>37791</v>
      </c>
      <c r="H19" s="391">
        <f>'表２１－２'!Q30</f>
        <v>0</v>
      </c>
      <c r="I19" s="391">
        <f>'表２１－２'!U30</f>
        <v>0</v>
      </c>
      <c r="J19" s="391">
        <f>'表２１－２'!Y30</f>
        <v>0</v>
      </c>
      <c r="K19" s="391">
        <f>'表２１－２'!I67</f>
        <v>37791</v>
      </c>
      <c r="L19" s="391">
        <f>'表２１－２'!M67</f>
        <v>0</v>
      </c>
      <c r="M19" s="392">
        <f>'表２１－２'!Q67</f>
        <v>0</v>
      </c>
    </row>
    <row r="20" spans="1:13" ht="22.5" customHeight="1">
      <c r="A20" s="1096"/>
      <c r="B20" s="1216"/>
      <c r="C20" s="104" t="s">
        <v>225</v>
      </c>
      <c r="D20" s="391">
        <f t="shared" si="1"/>
        <v>0</v>
      </c>
      <c r="E20" s="391">
        <f t="shared" si="2"/>
        <v>0</v>
      </c>
      <c r="F20" s="391">
        <f>'表２１－２'!I31</f>
        <v>0</v>
      </c>
      <c r="G20" s="391">
        <f>'表２１－２'!M31</f>
        <v>0</v>
      </c>
      <c r="H20" s="391">
        <f>'表２１－２'!Q31</f>
        <v>0</v>
      </c>
      <c r="I20" s="391">
        <f>'表２１－２'!U31</f>
        <v>0</v>
      </c>
      <c r="J20" s="391">
        <f>'表２１－２'!Y31</f>
        <v>0</v>
      </c>
      <c r="K20" s="391">
        <f>'表２１－２'!I68</f>
        <v>0</v>
      </c>
      <c r="L20" s="391">
        <f>'表２１－２'!M68</f>
        <v>0</v>
      </c>
      <c r="M20" s="392">
        <f>'表２１－２'!Q68</f>
        <v>0</v>
      </c>
    </row>
    <row r="21" spans="1:13" ht="22.5" customHeight="1">
      <c r="A21" s="1096"/>
      <c r="B21" s="1216"/>
      <c r="C21" s="104" t="s">
        <v>226</v>
      </c>
      <c r="D21" s="391">
        <f t="shared" si="1"/>
        <v>0</v>
      </c>
      <c r="E21" s="391">
        <f t="shared" si="2"/>
        <v>0</v>
      </c>
      <c r="F21" s="391">
        <f>'表２１－２'!I32</f>
        <v>0</v>
      </c>
      <c r="G21" s="391">
        <f>'表２１－２'!M32</f>
        <v>0</v>
      </c>
      <c r="H21" s="391">
        <f>'表２１－２'!Q32</f>
        <v>0</v>
      </c>
      <c r="I21" s="391">
        <f>'表２１－２'!U32</f>
        <v>0</v>
      </c>
      <c r="J21" s="391">
        <f>'表２１－２'!Y32</f>
        <v>0</v>
      </c>
      <c r="K21" s="391">
        <f>'表２１－２'!I69</f>
        <v>0</v>
      </c>
      <c r="L21" s="391">
        <f>'表２１－２'!M69</f>
        <v>0</v>
      </c>
      <c r="M21" s="392">
        <f>'表２１－２'!Q69</f>
        <v>0</v>
      </c>
    </row>
    <row r="22" spans="1:13" ht="22.5" customHeight="1">
      <c r="A22" s="1096"/>
      <c r="B22" s="1216"/>
      <c r="C22" s="104" t="s">
        <v>233</v>
      </c>
      <c r="D22" s="391">
        <f t="shared" si="1"/>
        <v>156879</v>
      </c>
      <c r="E22" s="391">
        <f t="shared" si="2"/>
        <v>156879</v>
      </c>
      <c r="F22" s="391">
        <f>'表２１－２'!I33</f>
        <v>0</v>
      </c>
      <c r="G22" s="391">
        <f>'表２１－２'!M33</f>
        <v>156879</v>
      </c>
      <c r="H22" s="391">
        <f>'表２１－２'!Q33</f>
        <v>0</v>
      </c>
      <c r="I22" s="391">
        <f>'表２１－２'!U33</f>
        <v>0</v>
      </c>
      <c r="J22" s="391">
        <f>'表２１－２'!Y33</f>
        <v>0</v>
      </c>
      <c r="K22" s="391">
        <f>'表２１－２'!I70</f>
        <v>156879</v>
      </c>
      <c r="L22" s="391">
        <f>'表２１－２'!M70</f>
        <v>0</v>
      </c>
      <c r="M22" s="392">
        <f>'表２１－２'!Q70</f>
        <v>0</v>
      </c>
    </row>
    <row r="23" spans="1:13" ht="27" customHeight="1">
      <c r="A23" s="1096"/>
      <c r="B23" s="1216"/>
      <c r="C23" s="106" t="s">
        <v>234</v>
      </c>
      <c r="D23" s="391">
        <f t="shared" si="1"/>
        <v>61614</v>
      </c>
      <c r="E23" s="391">
        <f t="shared" si="2"/>
        <v>61614</v>
      </c>
      <c r="F23" s="391">
        <f>'表２１－２'!I34</f>
        <v>2012</v>
      </c>
      <c r="G23" s="391">
        <f>'表２１－２'!M34</f>
        <v>59602</v>
      </c>
      <c r="H23" s="391">
        <f>'表２１－２'!Q34</f>
        <v>0</v>
      </c>
      <c r="I23" s="391">
        <f>'表２１－２'!U34</f>
        <v>0</v>
      </c>
      <c r="J23" s="391">
        <f>'表２１－２'!Y34</f>
        <v>0</v>
      </c>
      <c r="K23" s="391">
        <f>'表２１－２'!I71</f>
        <v>61614</v>
      </c>
      <c r="L23" s="391">
        <f>'表２１－２'!M71</f>
        <v>0</v>
      </c>
      <c r="M23" s="392">
        <f>'表２１－２'!Q71</f>
        <v>0</v>
      </c>
    </row>
    <row r="24" spans="1:13" ht="22.5" customHeight="1" thickBot="1">
      <c r="A24" s="1097"/>
      <c r="B24" s="1218"/>
      <c r="C24" s="107" t="s">
        <v>228</v>
      </c>
      <c r="D24" s="397">
        <f t="shared" si="1"/>
        <v>74346</v>
      </c>
      <c r="E24" s="397">
        <f t="shared" si="2"/>
        <v>74346</v>
      </c>
      <c r="F24" s="397">
        <f>'表２１－２'!I35</f>
        <v>29335</v>
      </c>
      <c r="G24" s="397">
        <f>'表２１－２'!M35</f>
        <v>45011</v>
      </c>
      <c r="H24" s="397">
        <f>'表２１－２'!Q35</f>
        <v>0</v>
      </c>
      <c r="I24" s="397">
        <f>'表２１－２'!U35</f>
        <v>0</v>
      </c>
      <c r="J24" s="397">
        <f>'表２１－２'!Y35</f>
        <v>0</v>
      </c>
      <c r="K24" s="397">
        <f>'表２１－２'!I72</f>
        <v>74346</v>
      </c>
      <c r="L24" s="397">
        <f>'表２１－２'!M72</f>
        <v>0</v>
      </c>
      <c r="M24" s="398">
        <f>'表２１－２'!Q72</f>
        <v>0</v>
      </c>
    </row>
    <row r="25" spans="1:13" ht="30" customHeight="1" thickBot="1">
      <c r="A25" s="1213" t="s">
        <v>235</v>
      </c>
      <c r="B25" s="1214"/>
      <c r="C25" s="1214"/>
      <c r="D25" s="387">
        <f>D5+D14</f>
        <v>5064315</v>
      </c>
      <c r="E25" s="387">
        <f aca="true" t="shared" si="4" ref="E25:M25">E5+E14</f>
        <v>4997315</v>
      </c>
      <c r="F25" s="387">
        <f t="shared" si="4"/>
        <v>458740</v>
      </c>
      <c r="G25" s="387">
        <f t="shared" si="4"/>
        <v>4538575</v>
      </c>
      <c r="H25" s="387">
        <f t="shared" si="4"/>
        <v>0</v>
      </c>
      <c r="I25" s="387">
        <f t="shared" si="4"/>
        <v>67000</v>
      </c>
      <c r="J25" s="387">
        <f t="shared" si="4"/>
        <v>0</v>
      </c>
      <c r="K25" s="387">
        <f t="shared" si="4"/>
        <v>4338268</v>
      </c>
      <c r="L25" s="387">
        <f t="shared" si="4"/>
        <v>720353</v>
      </c>
      <c r="M25" s="388">
        <f t="shared" si="4"/>
        <v>5694</v>
      </c>
    </row>
    <row r="27" spans="4:13" ht="12.75">
      <c r="D27" s="170"/>
      <c r="E27" s="170"/>
      <c r="F27" s="170"/>
      <c r="G27" s="170"/>
      <c r="H27" s="170"/>
      <c r="I27" s="170"/>
      <c r="J27" s="170"/>
      <c r="K27" s="170"/>
      <c r="L27" s="170"/>
      <c r="M27" s="170"/>
    </row>
    <row r="28" spans="4:5" ht="12.75">
      <c r="D28" s="170"/>
      <c r="E28" s="170"/>
    </row>
  </sheetData>
  <sheetProtection/>
  <mergeCells count="12">
    <mergeCell ref="A1:G1"/>
    <mergeCell ref="A3:C4"/>
    <mergeCell ref="D3:D4"/>
    <mergeCell ref="E3:H3"/>
    <mergeCell ref="I3:I4"/>
    <mergeCell ref="J3:J4"/>
    <mergeCell ref="A25:C25"/>
    <mergeCell ref="A5:A13"/>
    <mergeCell ref="B6:B13"/>
    <mergeCell ref="A14:A24"/>
    <mergeCell ref="B15:B24"/>
    <mergeCell ref="K3:M3"/>
  </mergeCells>
  <printOptions/>
  <pageMargins left="0.62" right="0.66" top="1" bottom="1" header="0.512" footer="0.512"/>
  <pageSetup horizontalDpi="300" verticalDpi="300" orientation="landscape" paperSize="9" scale="80" r:id="rId1"/>
</worksheet>
</file>

<file path=xl/worksheets/sheet26.xml><?xml version="1.0" encoding="utf-8"?>
<worksheet xmlns="http://schemas.openxmlformats.org/spreadsheetml/2006/main" xmlns:r="http://schemas.openxmlformats.org/officeDocument/2006/relationships">
  <sheetPr codeName="Sheet26">
    <tabColor rgb="FFFF0000"/>
  </sheetPr>
  <dimension ref="B1:L11"/>
  <sheetViews>
    <sheetView showGridLines="0" zoomScalePageLayoutView="0" workbookViewId="0" topLeftCell="A1">
      <selection activeCell="A1" sqref="A1"/>
    </sheetView>
  </sheetViews>
  <sheetFormatPr defaultColWidth="9.00390625" defaultRowHeight="13.5"/>
  <cols>
    <col min="1" max="1" width="5.25390625" style="0" customWidth="1"/>
    <col min="2" max="2" width="11.50390625" style="0" bestFit="1" customWidth="1"/>
    <col min="3" max="3" width="10.625" style="0" bestFit="1" customWidth="1"/>
    <col min="4" max="4" width="7.00390625" style="0" bestFit="1" customWidth="1"/>
    <col min="5" max="5" width="10.625" style="0" bestFit="1" customWidth="1"/>
    <col min="6" max="6" width="9.75390625" style="0" bestFit="1" customWidth="1"/>
    <col min="7" max="7" width="10.25390625" style="0" customWidth="1"/>
    <col min="8" max="8" width="13.375" style="0" bestFit="1" customWidth="1"/>
    <col min="9" max="9" width="7.125" style="0" bestFit="1" customWidth="1"/>
  </cols>
  <sheetData>
    <row r="1" spans="2:9" ht="12.75">
      <c r="B1" s="603" t="s">
        <v>375</v>
      </c>
      <c r="C1" s="72"/>
      <c r="D1" s="72"/>
      <c r="E1" s="72"/>
      <c r="F1" s="72"/>
      <c r="G1" s="72"/>
      <c r="H1" s="72"/>
      <c r="I1" s="72"/>
    </row>
    <row r="2" spans="2:9" ht="41.25" customHeight="1" thickBot="1">
      <c r="B2" s="738"/>
      <c r="C2" s="702"/>
      <c r="D2" s="702"/>
      <c r="E2" s="702"/>
      <c r="F2" s="702"/>
      <c r="G2" s="702"/>
      <c r="H2" s="702"/>
      <c r="I2" s="702"/>
    </row>
    <row r="3" spans="2:9" s="752" customFormat="1" ht="11.25" thickTop="1">
      <c r="B3" s="743" t="s">
        <v>358</v>
      </c>
      <c r="C3" s="1223" t="s">
        <v>359</v>
      </c>
      <c r="D3" s="1223"/>
      <c r="E3" s="1223"/>
      <c r="F3" s="1223"/>
      <c r="G3" s="1223"/>
      <c r="H3" s="1224" t="s">
        <v>360</v>
      </c>
      <c r="I3" s="1225"/>
    </row>
    <row r="4" spans="2:11" s="752" customFormat="1" ht="32.25">
      <c r="B4" s="742" t="s">
        <v>361</v>
      </c>
      <c r="C4" s="739" t="s">
        <v>362</v>
      </c>
      <c r="D4" s="600" t="s">
        <v>374</v>
      </c>
      <c r="E4" s="739" t="s">
        <v>363</v>
      </c>
      <c r="F4" s="739" t="s">
        <v>163</v>
      </c>
      <c r="G4" s="739" t="s">
        <v>164</v>
      </c>
      <c r="H4" s="740" t="s">
        <v>364</v>
      </c>
      <c r="I4" s="753" t="s">
        <v>374</v>
      </c>
      <c r="K4" s="754"/>
    </row>
    <row r="5" spans="2:9" s="752" customFormat="1" ht="9" customHeight="1">
      <c r="B5" s="741"/>
      <c r="C5" s="755" t="s">
        <v>372</v>
      </c>
      <c r="D5" s="755" t="s">
        <v>373</v>
      </c>
      <c r="E5" s="755" t="s">
        <v>372</v>
      </c>
      <c r="F5" s="755" t="s">
        <v>372</v>
      </c>
      <c r="G5" s="755" t="s">
        <v>372</v>
      </c>
      <c r="H5" s="756" t="s">
        <v>372</v>
      </c>
      <c r="I5" s="757" t="s">
        <v>373</v>
      </c>
    </row>
    <row r="6" spans="2:9" s="752" customFormat="1" ht="10.5">
      <c r="B6" s="744" t="s">
        <v>367</v>
      </c>
      <c r="C6" s="746">
        <f>'表２'!F3</f>
        <v>190462233</v>
      </c>
      <c r="D6" s="748">
        <v>-3</v>
      </c>
      <c r="E6" s="746">
        <f>'表２'!F4</f>
        <v>158292327</v>
      </c>
      <c r="F6" s="746">
        <f>'表２'!F16</f>
        <v>21385742</v>
      </c>
      <c r="G6" s="746">
        <f>'表２'!F17</f>
        <v>10784164</v>
      </c>
      <c r="H6" s="746">
        <v>16030096285</v>
      </c>
      <c r="I6" s="750">
        <v>-1</v>
      </c>
    </row>
    <row r="7" spans="2:10" s="752" customFormat="1" ht="10.5">
      <c r="B7" s="744" t="s">
        <v>368</v>
      </c>
      <c r="C7" s="746">
        <f>'表２'!G3</f>
        <v>193350335</v>
      </c>
      <c r="D7" s="748">
        <f>ROUND((C7-C6)/C6*100,1)</f>
        <v>1.5</v>
      </c>
      <c r="E7" s="746">
        <f>'表２'!G4</f>
        <v>160107225</v>
      </c>
      <c r="F7" s="746">
        <f>'表２'!G16</f>
        <v>22090030</v>
      </c>
      <c r="G7" s="746">
        <f>'表２'!G17</f>
        <v>11153080</v>
      </c>
      <c r="H7" s="746">
        <v>16108116181</v>
      </c>
      <c r="I7" s="750">
        <f>ROUND((H7-H6)/H6*100,1)</f>
        <v>0.5</v>
      </c>
      <c r="J7" s="754"/>
    </row>
    <row r="8" spans="2:12" s="752" customFormat="1" ht="10.5">
      <c r="B8" s="744" t="s">
        <v>369</v>
      </c>
      <c r="C8" s="746">
        <f>'表２'!H3</f>
        <v>188476972</v>
      </c>
      <c r="D8" s="748">
        <f>ROUND((C8-C7)/C7*100,1)</f>
        <v>-2.5</v>
      </c>
      <c r="E8" s="746">
        <f>'表２'!H4</f>
        <v>155683780</v>
      </c>
      <c r="F8" s="746">
        <f>'表２'!H16</f>
        <v>21391800</v>
      </c>
      <c r="G8" s="746">
        <f>'表２'!H17</f>
        <v>11401392</v>
      </c>
      <c r="H8" s="746">
        <v>15969518373</v>
      </c>
      <c r="I8" s="750">
        <f>ROUND((H8-H7)/H7*100,1)</f>
        <v>-0.9</v>
      </c>
      <c r="L8" s="754"/>
    </row>
    <row r="9" spans="2:9" s="752" customFormat="1" ht="10.5">
      <c r="B9" s="744" t="s">
        <v>370</v>
      </c>
      <c r="C9" s="746">
        <f>'表２'!I3</f>
        <v>191113147</v>
      </c>
      <c r="D9" s="748">
        <f>ROUND((C9-C8)/C8*100,1)</f>
        <v>1.4</v>
      </c>
      <c r="E9" s="746">
        <f>'表２'!I4</f>
        <v>157069683</v>
      </c>
      <c r="F9" s="746">
        <f>'表２'!I16</f>
        <v>21783161</v>
      </c>
      <c r="G9" s="746">
        <f>'表２'!I17</f>
        <v>12260303</v>
      </c>
      <c r="H9" s="746">
        <v>16384047409</v>
      </c>
      <c r="I9" s="750">
        <f>ROUND((H9-H8)/H8*100,1)</f>
        <v>2.6</v>
      </c>
    </row>
    <row r="10" spans="2:9" s="752" customFormat="1" ht="11.25" thickBot="1">
      <c r="B10" s="745" t="s">
        <v>371</v>
      </c>
      <c r="C10" s="747">
        <f>'表２'!J3</f>
        <v>184853627</v>
      </c>
      <c r="D10" s="749">
        <f>ROUND((C10-C9)/C9*100,1)</f>
        <v>-3.3</v>
      </c>
      <c r="E10" s="747">
        <f>'表２'!J4</f>
        <v>155155034</v>
      </c>
      <c r="F10" s="747">
        <f>'表２'!J16</f>
        <v>17731350</v>
      </c>
      <c r="G10" s="747">
        <f>'表２'!J17</f>
        <v>11967243</v>
      </c>
      <c r="H10" s="747">
        <v>16802211470</v>
      </c>
      <c r="I10" s="751">
        <f>IF(H10="","",ROUND((H10-H9)/H9*100,1))</f>
        <v>2.6</v>
      </c>
    </row>
    <row r="11" ht="13.5" thickTop="1">
      <c r="B11" s="72"/>
    </row>
  </sheetData>
  <sheetProtection/>
  <mergeCells count="2">
    <mergeCell ref="C3:G3"/>
    <mergeCell ref="H3:I3"/>
  </mergeCells>
  <printOptions/>
  <pageMargins left="0.7" right="0.7" top="0.75" bottom="0.75" header="0.3" footer="0.3"/>
  <pageSetup orientation="portrait" paperSize="9" r:id="rId2"/>
  <drawing r:id="rId1"/>
</worksheet>
</file>

<file path=xl/worksheets/sheet27.xml><?xml version="1.0" encoding="utf-8"?>
<worksheet xmlns="http://schemas.openxmlformats.org/spreadsheetml/2006/main" xmlns:r="http://schemas.openxmlformats.org/officeDocument/2006/relationships">
  <sheetPr codeName="Sheet27">
    <tabColor rgb="FFFF0000"/>
  </sheetPr>
  <dimension ref="A1:M20"/>
  <sheetViews>
    <sheetView showGridLines="0" zoomScalePageLayoutView="0" workbookViewId="0" topLeftCell="A1">
      <selection activeCell="A1" sqref="A1"/>
    </sheetView>
  </sheetViews>
  <sheetFormatPr defaultColWidth="9.00390625" defaultRowHeight="13.5"/>
  <cols>
    <col min="2" max="2" width="2.50390625" style="0" customWidth="1"/>
    <col min="3" max="3" width="3.50390625" style="0" customWidth="1"/>
    <col min="4" max="4" width="4.00390625" style="0" customWidth="1"/>
    <col min="5" max="5" width="12.875" style="0" customWidth="1"/>
    <col min="6" max="6" width="11.875" style="0" bestFit="1" customWidth="1"/>
    <col min="7" max="8" width="9.125" style="0" bestFit="1" customWidth="1"/>
  </cols>
  <sheetData>
    <row r="1" spans="1:9" ht="12.75">
      <c r="A1" s="871" t="s">
        <v>389</v>
      </c>
      <c r="B1" s="558"/>
      <c r="C1" s="558"/>
      <c r="D1" s="558"/>
      <c r="E1" s="558"/>
      <c r="F1" s="558"/>
      <c r="G1" s="558"/>
      <c r="H1" s="558"/>
      <c r="I1" s="558"/>
    </row>
    <row r="2" spans="1:9" ht="13.5" thickBot="1">
      <c r="A2" s="558"/>
      <c r="B2" s="604" t="s">
        <v>523</v>
      </c>
      <c r="C2" s="605"/>
      <c r="D2" s="605"/>
      <c r="E2" s="605"/>
      <c r="F2" s="605"/>
      <c r="G2" s="605"/>
      <c r="H2" s="605"/>
      <c r="I2" s="872"/>
    </row>
    <row r="3" spans="1:9" ht="24">
      <c r="A3" s="872"/>
      <c r="B3" s="1241" t="s">
        <v>376</v>
      </c>
      <c r="C3" s="1242"/>
      <c r="D3" s="1242"/>
      <c r="E3" s="1242"/>
      <c r="F3" s="606" t="s">
        <v>364</v>
      </c>
      <c r="G3" s="606" t="s">
        <v>377</v>
      </c>
      <c r="H3" s="628" t="s">
        <v>525</v>
      </c>
      <c r="I3" s="873"/>
    </row>
    <row r="4" spans="1:9" ht="12.75">
      <c r="A4" s="872"/>
      <c r="B4" s="607"/>
      <c r="C4" s="607"/>
      <c r="D4" s="607"/>
      <c r="E4" s="607"/>
      <c r="F4" s="608" t="s">
        <v>365</v>
      </c>
      <c r="G4" s="608" t="s">
        <v>366</v>
      </c>
      <c r="H4" s="608" t="s">
        <v>366</v>
      </c>
      <c r="I4" s="874"/>
    </row>
    <row r="5" spans="1:12" ht="12.75">
      <c r="A5" s="872"/>
      <c r="B5" s="1243" t="s">
        <v>28</v>
      </c>
      <c r="C5" s="1243"/>
      <c r="D5" s="1243"/>
      <c r="E5" s="1244"/>
      <c r="F5" s="609">
        <f>'表５'!E5</f>
        <v>184853627</v>
      </c>
      <c r="G5" s="610">
        <f>ROUND(F5/$F$5*100,1)</f>
        <v>100</v>
      </c>
      <c r="H5" s="611">
        <f>ROUND(('表２１－１'!E8-'表２１－１'!D8)/'表２１－１'!D8*100,1)</f>
        <v>-3.3</v>
      </c>
      <c r="I5" s="875"/>
      <c r="J5" s="503">
        <f aca="true" t="shared" si="0" ref="J5:J12">G5</f>
        <v>100</v>
      </c>
      <c r="K5">
        <f aca="true" t="shared" si="1" ref="K5:K18">ROUND(G5/$G$5*100,1)</f>
        <v>100</v>
      </c>
      <c r="L5" s="506">
        <f>SUM(L6,L17:L18)</f>
        <v>99.99999999999999</v>
      </c>
    </row>
    <row r="6" spans="1:13" ht="12.75">
      <c r="A6" s="872"/>
      <c r="B6" s="612"/>
      <c r="C6" s="1245" t="s">
        <v>29</v>
      </c>
      <c r="D6" s="1246"/>
      <c r="E6" s="1246"/>
      <c r="F6" s="613">
        <f>'表５'!F5</f>
        <v>155155034</v>
      </c>
      <c r="G6" s="614">
        <f>ROUND(F6/$F$5*100,1)</f>
        <v>83.9</v>
      </c>
      <c r="H6" s="615">
        <f>ROUND(('表２１－１'!E10-'表２１－１'!D10)/'表２１－１'!D10*100,1)</f>
        <v>-1.2</v>
      </c>
      <c r="I6" s="875"/>
      <c r="J6" s="504">
        <f t="shared" si="0"/>
        <v>83.9</v>
      </c>
      <c r="K6" s="505">
        <f t="shared" si="1"/>
        <v>83.9</v>
      </c>
      <c r="L6" s="508">
        <f>SUM(K7:K16)</f>
        <v>83.89999999999999</v>
      </c>
      <c r="M6" s="507">
        <f>IF(K6=L6,"","「100％にならないよ！」")</f>
      </c>
    </row>
    <row r="7" spans="1:11" ht="12.75">
      <c r="A7" s="872"/>
      <c r="B7" s="616"/>
      <c r="C7" s="617"/>
      <c r="D7" s="1232" t="s">
        <v>30</v>
      </c>
      <c r="E7" s="1232"/>
      <c r="F7" s="868">
        <f>'表５'!G5</f>
        <v>1644298</v>
      </c>
      <c r="G7" s="619">
        <f>ROUND(F7/$F$5*100,1)</f>
        <v>0.9</v>
      </c>
      <c r="H7" s="611">
        <f>ROUND(('表２１－１'!E11-'表２１－１'!D11)/'表２１－１'!D11*100,1)</f>
        <v>-19.8</v>
      </c>
      <c r="I7" s="875"/>
      <c r="J7" s="503">
        <f t="shared" si="0"/>
        <v>0.9</v>
      </c>
      <c r="K7">
        <f t="shared" si="1"/>
        <v>0.9</v>
      </c>
    </row>
    <row r="8" spans="1:11" ht="12.75">
      <c r="A8" s="872"/>
      <c r="B8" s="616"/>
      <c r="C8" s="620"/>
      <c r="D8" s="1232" t="s">
        <v>31</v>
      </c>
      <c r="E8" s="1232"/>
      <c r="F8" s="868">
        <f>'表５'!H5</f>
        <v>68862366</v>
      </c>
      <c r="G8" s="619">
        <f>ROUND(F8/$F$5*100,1)-0.1</f>
        <v>37.199999999999996</v>
      </c>
      <c r="H8" s="611">
        <f>ROUND(('表２１－１'!E12-'表２１－１'!D12)/'表２１－１'!D12*100,1)</f>
        <v>-1.8</v>
      </c>
      <c r="I8" s="875"/>
      <c r="J8" s="503">
        <f t="shared" si="0"/>
        <v>37.199999999999996</v>
      </c>
      <c r="K8">
        <f t="shared" si="1"/>
        <v>37.2</v>
      </c>
    </row>
    <row r="9" spans="1:11" ht="12.75">
      <c r="A9" s="872"/>
      <c r="B9" s="616"/>
      <c r="C9" s="620"/>
      <c r="D9" s="1232" t="s">
        <v>32</v>
      </c>
      <c r="E9" s="1232"/>
      <c r="F9" s="868">
        <f>'表５'!I5</f>
        <v>38922117</v>
      </c>
      <c r="G9" s="619">
        <f aca="true" t="shared" si="2" ref="G9:G18">ROUND(F9/$F$5*100,1)</f>
        <v>21.1</v>
      </c>
      <c r="H9" s="611">
        <f>ROUND(('表２１－１'!E13-'表２１－１'!D13)/'表２１－１'!D13*100,1)</f>
        <v>-6.5</v>
      </c>
      <c r="I9" s="875"/>
      <c r="J9" s="503">
        <f t="shared" si="0"/>
        <v>21.1</v>
      </c>
      <c r="K9">
        <f t="shared" si="1"/>
        <v>21.1</v>
      </c>
    </row>
    <row r="10" spans="1:11" ht="12.75">
      <c r="A10" s="872"/>
      <c r="B10" s="616"/>
      <c r="C10" s="620"/>
      <c r="D10" s="1232" t="s">
        <v>243</v>
      </c>
      <c r="E10" s="1232"/>
      <c r="F10" s="868">
        <f>'表５'!J5</f>
        <v>9820800</v>
      </c>
      <c r="G10" s="619">
        <f t="shared" si="2"/>
        <v>5.3</v>
      </c>
      <c r="H10" s="611">
        <f>ROUND(('表２１－１'!E14-'表２１－１'!D14)/'表２１－１'!D14*100,1)</f>
        <v>2.4</v>
      </c>
      <c r="I10" s="875"/>
      <c r="J10" s="503">
        <f t="shared" si="0"/>
        <v>5.3</v>
      </c>
      <c r="K10">
        <f t="shared" si="1"/>
        <v>5.3</v>
      </c>
    </row>
    <row r="11" spans="1:11" ht="12.75">
      <c r="A11" s="872"/>
      <c r="B11" s="616"/>
      <c r="C11" s="620"/>
      <c r="D11" s="1233" t="s">
        <v>33</v>
      </c>
      <c r="E11" s="618" t="s">
        <v>34</v>
      </c>
      <c r="F11" s="868">
        <f>'表５'!K5</f>
        <v>31278749</v>
      </c>
      <c r="G11" s="619">
        <f t="shared" si="2"/>
        <v>16.9</v>
      </c>
      <c r="H11" s="611">
        <f>ROUND(('表２１－１'!E15-'表２１－１'!D15)/'表２１－１'!D15*100,1)</f>
        <v>5.9</v>
      </c>
      <c r="I11" s="875"/>
      <c r="J11" s="503">
        <f t="shared" si="0"/>
        <v>16.9</v>
      </c>
      <c r="K11">
        <f t="shared" si="1"/>
        <v>16.9</v>
      </c>
    </row>
    <row r="12" spans="1:11" ht="12.75">
      <c r="A12" s="872"/>
      <c r="B12" s="616"/>
      <c r="C12" s="620"/>
      <c r="D12" s="1233"/>
      <c r="E12" s="618" t="s">
        <v>35</v>
      </c>
      <c r="F12" s="868">
        <f>'表５'!L5</f>
        <v>896539</v>
      </c>
      <c r="G12" s="619">
        <f t="shared" si="2"/>
        <v>0.5</v>
      </c>
      <c r="H12" s="611">
        <f>ROUND(('表２１－１'!E16-'表２１－１'!D16)/'表２１－１'!D16*100,1)</f>
        <v>1.1</v>
      </c>
      <c r="I12" s="875"/>
      <c r="J12" s="503">
        <f t="shared" si="0"/>
        <v>0.5</v>
      </c>
      <c r="K12">
        <f t="shared" si="1"/>
        <v>0.5</v>
      </c>
    </row>
    <row r="13" spans="1:11" ht="12.75">
      <c r="A13" s="872"/>
      <c r="B13" s="616"/>
      <c r="C13" s="620"/>
      <c r="D13" s="1233"/>
      <c r="E13" s="618" t="s">
        <v>36</v>
      </c>
      <c r="F13" s="868">
        <f>'表５'!M5</f>
        <v>177018</v>
      </c>
      <c r="G13" s="619">
        <f t="shared" si="2"/>
        <v>0.1</v>
      </c>
      <c r="H13" s="611">
        <f>ROUND(('表２１－１'!E17-'表２１－１'!D17)/'表２１－１'!D17*100,1)</f>
        <v>2</v>
      </c>
      <c r="I13" s="875"/>
      <c r="J13" s="503">
        <f aca="true" t="shared" si="3" ref="J13:J18">G13</f>
        <v>0.1</v>
      </c>
      <c r="K13">
        <f t="shared" si="1"/>
        <v>0.1</v>
      </c>
    </row>
    <row r="14" spans="1:11" ht="12.75">
      <c r="A14" s="872"/>
      <c r="B14" s="616"/>
      <c r="C14" s="1234" t="s">
        <v>378</v>
      </c>
      <c r="D14" s="1236" t="s">
        <v>379</v>
      </c>
      <c r="E14" s="1237"/>
      <c r="F14" s="868">
        <f>'表５'!N5</f>
        <v>2236940</v>
      </c>
      <c r="G14" s="619">
        <f t="shared" si="2"/>
        <v>1.2</v>
      </c>
      <c r="H14" s="611">
        <f>ROUND(('表２１－１'!E18-'表２１－１'!D18)/'表２１－１'!D18*100,1)</f>
        <v>5</v>
      </c>
      <c r="I14" s="875"/>
      <c r="J14" s="503">
        <f t="shared" si="3"/>
        <v>1.2</v>
      </c>
      <c r="K14">
        <f t="shared" si="1"/>
        <v>1.2</v>
      </c>
    </row>
    <row r="15" spans="1:11" ht="12.75">
      <c r="A15" s="872"/>
      <c r="B15" s="616"/>
      <c r="C15" s="1234"/>
      <c r="D15" s="1236" t="s">
        <v>39</v>
      </c>
      <c r="E15" s="1238"/>
      <c r="F15" s="868">
        <f>'表５'!O5</f>
        <v>246601</v>
      </c>
      <c r="G15" s="619">
        <f t="shared" si="2"/>
        <v>0.1</v>
      </c>
      <c r="H15" s="611">
        <f>ROUND(('表２１－１'!E19-'表２１－１'!D19)/'表２１－１'!D19*100,1)</f>
        <v>19.3</v>
      </c>
      <c r="I15" s="875"/>
      <c r="J15" s="503">
        <f t="shared" si="3"/>
        <v>0.1</v>
      </c>
      <c r="K15">
        <f t="shared" si="1"/>
        <v>0.1</v>
      </c>
    </row>
    <row r="16" spans="1:11" ht="12.75">
      <c r="A16" s="872"/>
      <c r="B16" s="616"/>
      <c r="C16" s="1235"/>
      <c r="D16" s="1239" t="s">
        <v>380</v>
      </c>
      <c r="E16" s="1240"/>
      <c r="F16" s="868">
        <f>'表５'!P5</f>
        <v>1069606</v>
      </c>
      <c r="G16" s="619">
        <f t="shared" si="2"/>
        <v>0.6</v>
      </c>
      <c r="H16" s="611">
        <f>ROUND(('表２１－１'!E22-'表２１－１'!D22)/'表２１－１'!D22*100,1)</f>
        <v>49.6</v>
      </c>
      <c r="I16" s="875"/>
      <c r="J16" s="503">
        <f t="shared" si="3"/>
        <v>0.6</v>
      </c>
      <c r="K16">
        <f t="shared" si="1"/>
        <v>0.6</v>
      </c>
    </row>
    <row r="17" spans="1:12" ht="12.75">
      <c r="A17" s="872"/>
      <c r="B17" s="621"/>
      <c r="C17" s="1226" t="s">
        <v>381</v>
      </c>
      <c r="D17" s="1227"/>
      <c r="E17" s="1228"/>
      <c r="F17" s="613">
        <f>'表５'!Q5</f>
        <v>17731350</v>
      </c>
      <c r="G17" s="614">
        <f t="shared" si="2"/>
        <v>9.6</v>
      </c>
      <c r="H17" s="622">
        <f>ROUND(('表２１－１'!E25-'表２１－１'!D25)/'表２１－１'!D25*100,1)</f>
        <v>-18.6</v>
      </c>
      <c r="I17" s="875"/>
      <c r="J17" s="504">
        <f t="shared" si="3"/>
        <v>9.6</v>
      </c>
      <c r="K17" s="505">
        <f t="shared" si="1"/>
        <v>9.6</v>
      </c>
      <c r="L17" s="505">
        <f>K17</f>
        <v>9.6</v>
      </c>
    </row>
    <row r="18" spans="1:12" ht="13.5" thickBot="1">
      <c r="A18" s="558"/>
      <c r="B18" s="623"/>
      <c r="C18" s="1229" t="s">
        <v>41</v>
      </c>
      <c r="D18" s="1230"/>
      <c r="E18" s="1231"/>
      <c r="F18" s="624">
        <f>'表５'!R5</f>
        <v>11967243</v>
      </c>
      <c r="G18" s="625">
        <f t="shared" si="2"/>
        <v>6.5</v>
      </c>
      <c r="H18" s="626">
        <f>ROUND(('表２１－１'!E37-'表２１－１'!D37)/'表２１－１'!D37*100,1)</f>
        <v>-2.4</v>
      </c>
      <c r="I18" s="875"/>
      <c r="J18" s="504">
        <f t="shared" si="3"/>
        <v>6.5</v>
      </c>
      <c r="K18" s="505">
        <f t="shared" si="1"/>
        <v>6.5</v>
      </c>
      <c r="L18" s="505">
        <f>K18</f>
        <v>6.5</v>
      </c>
    </row>
    <row r="19" spans="1:9" ht="12.75">
      <c r="A19" s="558"/>
      <c r="B19" s="558"/>
      <c r="C19" s="558"/>
      <c r="D19" s="558"/>
      <c r="E19" s="558"/>
      <c r="F19" s="558"/>
      <c r="G19" s="558"/>
      <c r="H19" s="558"/>
      <c r="I19" s="558"/>
    </row>
    <row r="20" spans="1:9" ht="12.75">
      <c r="A20" s="558"/>
      <c r="B20" s="558"/>
      <c r="C20" s="558"/>
      <c r="D20" s="558"/>
      <c r="E20" s="558"/>
      <c r="F20" s="558"/>
      <c r="G20" s="558"/>
      <c r="H20" s="558"/>
      <c r="I20" s="558"/>
    </row>
  </sheetData>
  <sheetProtection/>
  <mergeCells count="14">
    <mergeCell ref="B3:E3"/>
    <mergeCell ref="B5:E5"/>
    <mergeCell ref="C6:E6"/>
    <mergeCell ref="D7:E7"/>
    <mergeCell ref="D8:E8"/>
    <mergeCell ref="D9:E9"/>
    <mergeCell ref="C17:E17"/>
    <mergeCell ref="C18:E18"/>
    <mergeCell ref="D10:E10"/>
    <mergeCell ref="D11:D13"/>
    <mergeCell ref="C14:C16"/>
    <mergeCell ref="D14:E14"/>
    <mergeCell ref="D15:E15"/>
    <mergeCell ref="D16:E16"/>
  </mergeCells>
  <printOptions/>
  <pageMargins left="0.7" right="0.7" top="0.75" bottom="0.75" header="0.3" footer="0.3"/>
  <pageSetup orientation="portrait" paperSize="9"/>
  <ignoredErrors>
    <ignoredError sqref="G8" formula="1"/>
  </ignoredErrors>
  <drawing r:id="rId1"/>
</worksheet>
</file>

<file path=xl/worksheets/sheet28.xml><?xml version="1.0" encoding="utf-8"?>
<worksheet xmlns="http://schemas.openxmlformats.org/spreadsheetml/2006/main" xmlns:r="http://schemas.openxmlformats.org/officeDocument/2006/relationships">
  <sheetPr codeName="Sheet28">
    <tabColor rgb="FFFF0000"/>
  </sheetPr>
  <dimension ref="A1:G7"/>
  <sheetViews>
    <sheetView showGridLines="0" zoomScalePageLayoutView="0" workbookViewId="0" topLeftCell="A1">
      <selection activeCell="A1" sqref="A1"/>
    </sheetView>
  </sheetViews>
  <sheetFormatPr defaultColWidth="9.00390625" defaultRowHeight="13.5"/>
  <cols>
    <col min="1" max="1" width="11.375" style="0" bestFit="1" customWidth="1"/>
    <col min="2" max="3" width="10.25390625" style="0" bestFit="1" customWidth="1"/>
    <col min="4" max="4" width="14.375" style="0" bestFit="1" customWidth="1"/>
    <col min="5" max="5" width="15.125" style="0" bestFit="1" customWidth="1"/>
    <col min="6" max="7" width="11.00390625" style="0" bestFit="1" customWidth="1"/>
  </cols>
  <sheetData>
    <row r="1" spans="1:7" ht="12.75">
      <c r="A1" s="498" t="s">
        <v>28</v>
      </c>
      <c r="B1" s="72"/>
      <c r="C1" s="72"/>
      <c r="D1" s="72"/>
      <c r="E1" s="510" t="s">
        <v>382</v>
      </c>
      <c r="F1" s="72"/>
      <c r="G1" s="72"/>
    </row>
    <row r="2" spans="1:7" ht="12.75">
      <c r="A2" s="501">
        <f>'表５'!E5</f>
        <v>184853627</v>
      </c>
      <c r="B2" s="72"/>
      <c r="C2" s="72"/>
      <c r="D2" s="72"/>
      <c r="E2" s="501">
        <f>'表５'!F5</f>
        <v>155155034</v>
      </c>
      <c r="F2" s="72"/>
      <c r="G2" s="72"/>
    </row>
    <row r="3" spans="1:7" ht="12.75">
      <c r="A3" s="1247" t="s">
        <v>361</v>
      </c>
      <c r="B3" s="1249" t="s">
        <v>363</v>
      </c>
      <c r="C3" s="1250"/>
      <c r="D3" s="1250"/>
      <c r="E3" s="1251"/>
      <c r="F3" s="1247" t="s">
        <v>163</v>
      </c>
      <c r="G3" s="1247" t="s">
        <v>164</v>
      </c>
    </row>
    <row r="4" spans="1:7" ht="12.75">
      <c r="A4" s="1248"/>
      <c r="B4" s="511" t="s">
        <v>31</v>
      </c>
      <c r="C4" s="511" t="s">
        <v>32</v>
      </c>
      <c r="D4" s="512" t="s">
        <v>383</v>
      </c>
      <c r="E4" s="511" t="s">
        <v>384</v>
      </c>
      <c r="F4" s="1248"/>
      <c r="G4" s="1248"/>
    </row>
    <row r="5" spans="1:7" ht="12.75">
      <c r="A5" s="513" t="str">
        <f>'表２'!J2</f>
        <v>令和２年度</v>
      </c>
      <c r="B5" s="514">
        <f>'表２１－１'!E12</f>
        <v>68862366</v>
      </c>
      <c r="C5" s="514">
        <f>'表２１－１'!E13</f>
        <v>38922117</v>
      </c>
      <c r="D5" s="514">
        <f>'表２１－１'!E15</f>
        <v>31278749</v>
      </c>
      <c r="E5" s="514">
        <f>E2-SUM(B5:D5)</f>
        <v>16091802</v>
      </c>
      <c r="F5" s="514">
        <f>'表２１－１'!E25</f>
        <v>17731350</v>
      </c>
      <c r="G5" s="514">
        <f>'表２１－１'!E37</f>
        <v>11967243</v>
      </c>
    </row>
    <row r="6" spans="1:7" ht="12.75">
      <c r="A6" s="72"/>
      <c r="B6" s="515">
        <f aca="true" t="shared" si="0" ref="B6:G6">ROUND(B5/$A$2*100,5)</f>
        <v>37.25237</v>
      </c>
      <c r="C6" s="515">
        <f t="shared" si="0"/>
        <v>21.05564</v>
      </c>
      <c r="D6" s="515">
        <f t="shared" si="0"/>
        <v>16.92082</v>
      </c>
      <c r="E6" s="515">
        <f t="shared" si="0"/>
        <v>8.70516</v>
      </c>
      <c r="F6" s="515">
        <f t="shared" si="0"/>
        <v>9.5921</v>
      </c>
      <c r="G6" s="515">
        <f t="shared" si="0"/>
        <v>6.4739</v>
      </c>
    </row>
    <row r="7" spans="1:7" ht="12.75">
      <c r="A7" s="72"/>
      <c r="B7" s="1252">
        <f>SUM(B6:E6)</f>
        <v>83.93399</v>
      </c>
      <c r="C7" s="1252"/>
      <c r="D7" s="1252"/>
      <c r="E7" s="1252"/>
      <c r="F7" s="515">
        <f>F6</f>
        <v>9.5921</v>
      </c>
      <c r="G7" s="515">
        <f>G6</f>
        <v>6.4739</v>
      </c>
    </row>
  </sheetData>
  <sheetProtection/>
  <mergeCells count="5">
    <mergeCell ref="A3:A4"/>
    <mergeCell ref="B3:E3"/>
    <mergeCell ref="F3:F4"/>
    <mergeCell ref="G3:G4"/>
    <mergeCell ref="B7:E7"/>
  </mergeCell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sheetPr codeName="Sheet29">
    <tabColor rgb="FFFF0000"/>
  </sheetPr>
  <dimension ref="A1:J20"/>
  <sheetViews>
    <sheetView showGridLines="0" zoomScalePageLayoutView="0" workbookViewId="0" topLeftCell="A1">
      <selection activeCell="A1" sqref="A1"/>
    </sheetView>
  </sheetViews>
  <sheetFormatPr defaultColWidth="9.00390625" defaultRowHeight="13.5"/>
  <cols>
    <col min="2" max="2" width="2.50390625" style="0" customWidth="1"/>
    <col min="3" max="3" width="2.375" style="0" customWidth="1"/>
    <col min="4" max="4" width="21.125" style="0" customWidth="1"/>
    <col min="5" max="5" width="10.375" style="0" bestFit="1" customWidth="1"/>
    <col min="7" max="7" width="8.00390625" style="0" bestFit="1" customWidth="1"/>
  </cols>
  <sheetData>
    <row r="1" spans="1:8" ht="12.75">
      <c r="A1" s="558"/>
      <c r="B1" s="871" t="s">
        <v>388</v>
      </c>
      <c r="C1" s="558"/>
      <c r="D1" s="558"/>
      <c r="E1" s="558"/>
      <c r="F1" s="558"/>
      <c r="G1" s="558"/>
      <c r="H1" s="558"/>
    </row>
    <row r="2" spans="1:8" ht="13.5" thickBot="1">
      <c r="A2" s="558"/>
      <c r="B2" s="844" t="s">
        <v>524</v>
      </c>
      <c r="C2" s="845"/>
      <c r="D2" s="845"/>
      <c r="E2" s="845"/>
      <c r="F2" s="845"/>
      <c r="G2" s="845"/>
      <c r="H2" s="558"/>
    </row>
    <row r="3" spans="1:8" ht="39" customHeight="1" thickTop="1">
      <c r="A3" s="558"/>
      <c r="B3" s="1253" t="s">
        <v>385</v>
      </c>
      <c r="C3" s="1253"/>
      <c r="D3" s="1254"/>
      <c r="E3" s="627" t="s">
        <v>386</v>
      </c>
      <c r="F3" s="606" t="s">
        <v>377</v>
      </c>
      <c r="G3" s="628" t="s">
        <v>525</v>
      </c>
      <c r="H3" s="558"/>
    </row>
    <row r="4" spans="1:8" ht="12.75">
      <c r="A4" s="872"/>
      <c r="B4" s="1257" t="s">
        <v>28</v>
      </c>
      <c r="C4" s="1257"/>
      <c r="D4" s="1258"/>
      <c r="E4" s="629" t="s">
        <v>365</v>
      </c>
      <c r="F4" s="608" t="s">
        <v>366</v>
      </c>
      <c r="G4" s="608" t="s">
        <v>366</v>
      </c>
      <c r="H4" s="558"/>
    </row>
    <row r="5" spans="1:10" ht="12.75">
      <c r="A5" s="872"/>
      <c r="B5" s="1259"/>
      <c r="C5" s="1259"/>
      <c r="D5" s="1260"/>
      <c r="E5" s="630">
        <f>'表６'!E5</f>
        <v>184853627</v>
      </c>
      <c r="F5" s="631">
        <f>ROUND(E5/$E$5*100,1)</f>
        <v>100</v>
      </c>
      <c r="G5" s="611">
        <f>'表２１－１'!G8</f>
        <v>-3.2752953411415495</v>
      </c>
      <c r="H5" s="558"/>
      <c r="I5">
        <f>E5/$E$5</f>
        <v>1</v>
      </c>
      <c r="J5" s="502"/>
    </row>
    <row r="6" spans="1:10" ht="12.75">
      <c r="A6" s="872"/>
      <c r="B6" s="632"/>
      <c r="C6" s="1255" t="s">
        <v>45</v>
      </c>
      <c r="D6" s="1256"/>
      <c r="E6" s="633">
        <f>E5-SUM(E10:E11)</f>
        <v>177758089</v>
      </c>
      <c r="F6" s="634">
        <f aca="true" t="shared" si="0" ref="F6:F13">ROUND(E6/$E$5*100,1)</f>
        <v>96.2</v>
      </c>
      <c r="G6" s="635">
        <f>('表３'!J4-'表３'!I4)/'表３'!I4*100</f>
        <v>0.496071831131044</v>
      </c>
      <c r="H6" s="558"/>
      <c r="I6">
        <f aca="true" t="shared" si="1" ref="I6:I13">E6/$E$5</f>
        <v>0.9616153704141277</v>
      </c>
      <c r="J6" s="502"/>
    </row>
    <row r="7" spans="1:10" ht="12.75">
      <c r="A7" s="872"/>
      <c r="B7" s="636"/>
      <c r="C7" s="637"/>
      <c r="D7" s="638" t="s">
        <v>46</v>
      </c>
      <c r="E7" s="639">
        <f>'表６'!G5</f>
        <v>23908608</v>
      </c>
      <c r="F7" s="631">
        <f>ROUND(E7/$E$5*100,1)</f>
        <v>12.9</v>
      </c>
      <c r="G7" s="611">
        <f>'表２１－１'!K8</f>
        <v>6.515625161497959</v>
      </c>
      <c r="H7" s="558"/>
      <c r="I7">
        <f t="shared" si="1"/>
        <v>0.1293380518846947</v>
      </c>
      <c r="J7" s="502"/>
    </row>
    <row r="8" spans="1:10" ht="12.75">
      <c r="A8" s="872"/>
      <c r="B8" s="636"/>
      <c r="C8" s="640"/>
      <c r="D8" s="638" t="s">
        <v>387</v>
      </c>
      <c r="E8" s="639">
        <f>'表６'!H5</f>
        <v>101011268</v>
      </c>
      <c r="F8" s="631">
        <v>54.7</v>
      </c>
      <c r="G8" s="611">
        <f>'表２１－１'!O8</f>
        <v>-1.444092768112755</v>
      </c>
      <c r="H8" s="558"/>
      <c r="I8">
        <f t="shared" si="1"/>
        <v>0.5464391997025841</v>
      </c>
      <c r="J8" s="502"/>
    </row>
    <row r="9" spans="1:10" ht="12.75">
      <c r="A9" s="872"/>
      <c r="B9" s="636"/>
      <c r="C9" s="641"/>
      <c r="D9" s="638" t="s">
        <v>393</v>
      </c>
      <c r="E9" s="639">
        <f>'表６'!I5</f>
        <v>52838213</v>
      </c>
      <c r="F9" s="631">
        <f t="shared" si="0"/>
        <v>28.6</v>
      </c>
      <c r="G9" s="611">
        <f>'表２１－１'!S8</f>
        <v>1.7230766257106418</v>
      </c>
      <c r="H9" s="558"/>
      <c r="I9">
        <f t="shared" si="1"/>
        <v>0.2858381188268489</v>
      </c>
      <c r="J9" s="502"/>
    </row>
    <row r="10" spans="1:10" ht="12.75">
      <c r="A10" s="872"/>
      <c r="B10" s="636"/>
      <c r="C10" s="1255" t="s">
        <v>48</v>
      </c>
      <c r="D10" s="1256"/>
      <c r="E10" s="838">
        <f>'表６'!J5</f>
        <v>7070550</v>
      </c>
      <c r="F10" s="634">
        <f t="shared" si="0"/>
        <v>3.8</v>
      </c>
      <c r="G10" s="635">
        <f>'表２１－１'!W8</f>
        <v>-50.15765029718392</v>
      </c>
      <c r="H10" s="558"/>
      <c r="I10">
        <f t="shared" si="1"/>
        <v>0.038249452362652314</v>
      </c>
      <c r="J10" s="502"/>
    </row>
    <row r="11" spans="1:10" ht="12.75">
      <c r="A11" s="872"/>
      <c r="B11" s="636"/>
      <c r="C11" s="1255" t="s">
        <v>390</v>
      </c>
      <c r="D11" s="1256"/>
      <c r="E11" s="633">
        <f>SUM(E12:E13)</f>
        <v>24988</v>
      </c>
      <c r="F11" s="634">
        <f t="shared" si="0"/>
        <v>0</v>
      </c>
      <c r="G11" s="635">
        <f>('表３'!J9-'表３'!I9)/'表３'!I9*100</f>
        <v>-46.475313269786874</v>
      </c>
      <c r="H11" s="558"/>
      <c r="I11">
        <f t="shared" si="1"/>
        <v>0.0001351772232199696</v>
      </c>
      <c r="J11" s="502"/>
    </row>
    <row r="12" spans="1:10" ht="13.5" customHeight="1">
      <c r="A12" s="872"/>
      <c r="B12" s="636"/>
      <c r="C12" s="837"/>
      <c r="D12" s="801" t="s">
        <v>391</v>
      </c>
      <c r="E12" s="639">
        <f>'表６'!K5</f>
        <v>800</v>
      </c>
      <c r="F12" s="631">
        <f t="shared" si="0"/>
        <v>0</v>
      </c>
      <c r="G12" s="611">
        <f>'表２１－１'!AA8</f>
        <v>-95.79544857308035</v>
      </c>
      <c r="H12" s="558"/>
      <c r="I12">
        <f t="shared" si="1"/>
        <v>4.327748462300932E-06</v>
      </c>
      <c r="J12" s="502"/>
    </row>
    <row r="13" spans="1:10" ht="13.5" thickBot="1">
      <c r="A13" s="558"/>
      <c r="B13" s="839"/>
      <c r="C13" s="840"/>
      <c r="D13" s="841" t="s">
        <v>392</v>
      </c>
      <c r="E13" s="832">
        <f>'表６'!L5</f>
        <v>24188</v>
      </c>
      <c r="F13" s="842">
        <f t="shared" si="0"/>
        <v>0</v>
      </c>
      <c r="G13" s="843">
        <f>'表２１－１'!G45</f>
        <v>-12.546098777930437</v>
      </c>
      <c r="H13" s="558"/>
      <c r="I13">
        <f t="shared" si="1"/>
        <v>0.00013084947475766866</v>
      </c>
      <c r="J13" s="502"/>
    </row>
    <row r="14" spans="1:8" ht="13.5" thickTop="1">
      <c r="A14" s="558"/>
      <c r="B14" s="872"/>
      <c r="C14" s="872"/>
      <c r="D14" s="558"/>
      <c r="E14" s="558"/>
      <c r="F14" s="558"/>
      <c r="G14" s="558"/>
      <c r="H14" s="558"/>
    </row>
    <row r="15" spans="1:8" ht="12.75">
      <c r="A15" s="558"/>
      <c r="B15" s="558"/>
      <c r="C15" s="558"/>
      <c r="D15" s="558"/>
      <c r="E15" s="558"/>
      <c r="F15" s="558"/>
      <c r="G15" s="558"/>
      <c r="H15" s="558"/>
    </row>
    <row r="16" spans="1:8" ht="12.75">
      <c r="A16" s="558"/>
      <c r="B16" s="558"/>
      <c r="C16" s="558"/>
      <c r="D16" s="558"/>
      <c r="E16" s="558"/>
      <c r="F16" s="558"/>
      <c r="G16" s="558"/>
      <c r="H16" s="558"/>
    </row>
    <row r="17" spans="1:8" ht="12.75">
      <c r="A17" s="558"/>
      <c r="B17" s="558"/>
      <c r="C17" s="558"/>
      <c r="D17" s="558"/>
      <c r="E17" s="558"/>
      <c r="F17" s="558"/>
      <c r="G17" s="558"/>
      <c r="H17" s="558"/>
    </row>
    <row r="18" spans="1:8" ht="12.75">
      <c r="A18" s="558"/>
      <c r="B18" s="558"/>
      <c r="C18" s="558"/>
      <c r="D18" s="558"/>
      <c r="E18" s="558"/>
      <c r="F18" s="558"/>
      <c r="G18" s="558"/>
      <c r="H18" s="558"/>
    </row>
    <row r="19" spans="1:8" ht="12.75">
      <c r="A19" s="558"/>
      <c r="B19" s="558"/>
      <c r="C19" s="558"/>
      <c r="D19" s="558"/>
      <c r="E19" s="558"/>
      <c r="F19" s="558"/>
      <c r="G19" s="558"/>
      <c r="H19" s="558"/>
    </row>
    <row r="20" spans="1:8" ht="12.75">
      <c r="A20" s="558"/>
      <c r="B20" s="558"/>
      <c r="C20" s="558"/>
      <c r="D20" s="558"/>
      <c r="E20" s="558"/>
      <c r="F20" s="558"/>
      <c r="G20" s="558"/>
      <c r="H20" s="558"/>
    </row>
  </sheetData>
  <sheetProtection/>
  <mergeCells count="5">
    <mergeCell ref="B3:D3"/>
    <mergeCell ref="C6:D6"/>
    <mergeCell ref="C10:D10"/>
    <mergeCell ref="C11:D11"/>
    <mergeCell ref="B4:D5"/>
  </mergeCells>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V24"/>
  <sheetViews>
    <sheetView zoomScalePageLayoutView="0" workbookViewId="0" topLeftCell="A1">
      <selection activeCell="A1" sqref="A1:G1"/>
    </sheetView>
  </sheetViews>
  <sheetFormatPr defaultColWidth="9.00390625" defaultRowHeight="13.5"/>
  <cols>
    <col min="1" max="1" width="3.375" style="7" customWidth="1"/>
    <col min="2" max="4" width="2.125" style="7" customWidth="1"/>
    <col min="5" max="5" width="15.50390625" style="7" customWidth="1"/>
    <col min="6" max="10" width="14.375" style="7" customWidth="1"/>
    <col min="11" max="11" width="12.75390625" style="7" hidden="1" customWidth="1"/>
    <col min="12" max="13" width="11.625" style="7" bestFit="1" customWidth="1"/>
    <col min="14" max="14" width="10.50390625" style="7" bestFit="1" customWidth="1"/>
    <col min="15" max="15" width="11.625" style="7" bestFit="1" customWidth="1"/>
    <col min="16" max="16" width="10.50390625" style="7" bestFit="1" customWidth="1"/>
    <col min="17" max="17" width="9.125" style="7" bestFit="1" customWidth="1"/>
    <col min="18" max="18" width="10.50390625" style="7" bestFit="1" customWidth="1"/>
    <col min="19" max="19" width="9.125" style="7" bestFit="1" customWidth="1"/>
    <col min="20" max="20" width="10.50390625" style="7" bestFit="1" customWidth="1"/>
    <col min="21" max="21" width="11.625" style="7" bestFit="1" customWidth="1"/>
    <col min="22" max="22" width="16.125" style="7" bestFit="1" customWidth="1"/>
    <col min="23" max="16384" width="9.00390625" style="7" customWidth="1"/>
  </cols>
  <sheetData>
    <row r="1" spans="1:10" ht="21" customHeight="1" thickBot="1">
      <c r="A1" s="917" t="s">
        <v>43</v>
      </c>
      <c r="B1" s="917"/>
      <c r="C1" s="917"/>
      <c r="D1" s="917"/>
      <c r="E1" s="917"/>
      <c r="F1" s="917"/>
      <c r="G1" s="917"/>
      <c r="J1" s="7" t="s">
        <v>299</v>
      </c>
    </row>
    <row r="2" spans="1:10" ht="27.75" customHeight="1" thickBot="1">
      <c r="A2" s="949" t="s">
        <v>44</v>
      </c>
      <c r="B2" s="950"/>
      <c r="C2" s="950"/>
      <c r="D2" s="950"/>
      <c r="E2" s="951"/>
      <c r="F2" s="14" t="s">
        <v>321</v>
      </c>
      <c r="G2" s="156" t="s">
        <v>326</v>
      </c>
      <c r="H2" s="14" t="s">
        <v>328</v>
      </c>
      <c r="I2" s="14" t="s">
        <v>329</v>
      </c>
      <c r="J2" s="141" t="s">
        <v>331</v>
      </c>
    </row>
    <row r="3" spans="1:11" ht="27.75" customHeight="1" thickTop="1">
      <c r="A3" s="952" t="s">
        <v>27</v>
      </c>
      <c r="B3" s="962" t="s">
        <v>28</v>
      </c>
      <c r="C3" s="962"/>
      <c r="D3" s="962"/>
      <c r="E3" s="962"/>
      <c r="F3" s="120">
        <v>190462233</v>
      </c>
      <c r="G3" s="178">
        <v>193350335</v>
      </c>
      <c r="H3" s="199">
        <v>188476972</v>
      </c>
      <c r="I3" s="199">
        <v>191113147</v>
      </c>
      <c r="J3" s="200">
        <f>J4+J8+J9</f>
        <v>184853627</v>
      </c>
      <c r="K3" s="7">
        <f>K4+K8+K9</f>
        <v>191113147</v>
      </c>
    </row>
    <row r="4" spans="1:22" ht="27.75" customHeight="1">
      <c r="A4" s="953"/>
      <c r="B4" s="958"/>
      <c r="C4" s="963" t="s">
        <v>45</v>
      </c>
      <c r="D4" s="963"/>
      <c r="E4" s="963"/>
      <c r="F4" s="158">
        <v>179894603</v>
      </c>
      <c r="G4" s="144">
        <v>180387730</v>
      </c>
      <c r="H4" s="144">
        <v>177540955</v>
      </c>
      <c r="I4" s="144">
        <v>176880634</v>
      </c>
      <c r="J4" s="201">
        <f>SUM(J5:J7)</f>
        <v>177758089</v>
      </c>
      <c r="K4" s="259">
        <f>SUM(K5:K7)</f>
        <v>176880634</v>
      </c>
      <c r="L4" s="259"/>
      <c r="M4" s="259"/>
      <c r="N4" s="259"/>
      <c r="O4" s="259"/>
      <c r="P4" s="259"/>
      <c r="Q4" s="259"/>
      <c r="R4" s="259"/>
      <c r="S4" s="259"/>
      <c r="T4" s="259"/>
      <c r="U4" s="259"/>
      <c r="V4" s="94"/>
    </row>
    <row r="5" spans="1:22" ht="27.75" customHeight="1">
      <c r="A5" s="953"/>
      <c r="B5" s="959"/>
      <c r="C5" s="958"/>
      <c r="D5" s="965" t="s">
        <v>46</v>
      </c>
      <c r="E5" s="965"/>
      <c r="F5" s="159">
        <v>22606638</v>
      </c>
      <c r="G5" s="145">
        <v>21287446</v>
      </c>
      <c r="H5" s="145">
        <v>22453395</v>
      </c>
      <c r="I5" s="145">
        <v>22446104</v>
      </c>
      <c r="J5" s="202">
        <f>'表２１－１'!I8</f>
        <v>23908608</v>
      </c>
      <c r="K5" s="259">
        <f>'表２１－１'!H8</f>
        <v>22446104</v>
      </c>
      <c r="L5" s="259"/>
      <c r="M5" s="259"/>
      <c r="N5" s="259"/>
      <c r="O5" s="259"/>
      <c r="P5" s="259"/>
      <c r="Q5" s="259"/>
      <c r="R5" s="259"/>
      <c r="S5" s="259"/>
      <c r="T5" s="259"/>
      <c r="U5" s="259"/>
      <c r="V5" s="259"/>
    </row>
    <row r="6" spans="1:22" ht="27.75" customHeight="1">
      <c r="A6" s="953"/>
      <c r="B6" s="959"/>
      <c r="C6" s="959"/>
      <c r="D6" s="965" t="s">
        <v>257</v>
      </c>
      <c r="E6" s="965"/>
      <c r="F6" s="159">
        <v>106211513</v>
      </c>
      <c r="G6" s="145">
        <v>104557095</v>
      </c>
      <c r="H6" s="145">
        <v>102108655</v>
      </c>
      <c r="I6" s="145">
        <v>102491338</v>
      </c>
      <c r="J6" s="202">
        <f>'表２１－１'!M8</f>
        <v>101011268</v>
      </c>
      <c r="K6" s="259">
        <f>'表２１－１'!L8</f>
        <v>102491338</v>
      </c>
      <c r="L6" s="259"/>
      <c r="M6" s="259"/>
      <c r="N6" s="259"/>
      <c r="O6" s="259"/>
      <c r="P6" s="259"/>
      <c r="Q6" s="259"/>
      <c r="R6" s="259"/>
      <c r="S6" s="259"/>
      <c r="T6" s="259"/>
      <c r="U6" s="259"/>
      <c r="V6" s="259"/>
    </row>
    <row r="7" spans="1:22" ht="27.75" customHeight="1">
      <c r="A7" s="953"/>
      <c r="B7" s="959"/>
      <c r="C7" s="964"/>
      <c r="D7" s="965" t="s">
        <v>47</v>
      </c>
      <c r="E7" s="965"/>
      <c r="F7" s="159">
        <v>51076452</v>
      </c>
      <c r="G7" s="145">
        <v>54543189</v>
      </c>
      <c r="H7" s="145">
        <v>52978905</v>
      </c>
      <c r="I7" s="145">
        <v>51943192</v>
      </c>
      <c r="J7" s="202">
        <f>'表２１－１'!Q8</f>
        <v>52838213</v>
      </c>
      <c r="K7" s="259">
        <f>'表２１－１'!P8</f>
        <v>51943192</v>
      </c>
      <c r="L7" s="259"/>
      <c r="M7" s="259"/>
      <c r="N7" s="259"/>
      <c r="O7" s="259"/>
      <c r="P7" s="259"/>
      <c r="Q7" s="259"/>
      <c r="R7" s="259"/>
      <c r="S7" s="259"/>
      <c r="T7" s="259"/>
      <c r="U7" s="259"/>
      <c r="V7" s="259"/>
    </row>
    <row r="8" spans="1:22" ht="27.75" customHeight="1">
      <c r="A8" s="953"/>
      <c r="B8" s="959"/>
      <c r="C8" s="966" t="s">
        <v>48</v>
      </c>
      <c r="D8" s="966"/>
      <c r="E8" s="966"/>
      <c r="F8" s="160">
        <v>10512200</v>
      </c>
      <c r="G8" s="146">
        <v>12898400</v>
      </c>
      <c r="H8" s="146">
        <v>10901564</v>
      </c>
      <c r="I8" s="146">
        <v>14185828</v>
      </c>
      <c r="J8" s="203">
        <f>'表２１－１'!U8</f>
        <v>7070550</v>
      </c>
      <c r="K8" s="259">
        <f>'表２１－１'!T8</f>
        <v>14185828</v>
      </c>
      <c r="L8" s="259"/>
      <c r="M8" s="259"/>
      <c r="N8" s="259"/>
      <c r="O8" s="259"/>
      <c r="P8" s="259"/>
      <c r="Q8" s="259"/>
      <c r="R8" s="259"/>
      <c r="S8" s="259"/>
      <c r="T8" s="259"/>
      <c r="U8" s="259"/>
      <c r="V8" s="259"/>
    </row>
    <row r="9" spans="1:11" ht="27.75" customHeight="1">
      <c r="A9" s="953"/>
      <c r="B9" s="959"/>
      <c r="C9" s="967" t="s">
        <v>49</v>
      </c>
      <c r="D9" s="967"/>
      <c r="E9" s="967"/>
      <c r="F9" s="161">
        <v>55430</v>
      </c>
      <c r="G9" s="147">
        <v>64205</v>
      </c>
      <c r="H9" s="147">
        <v>34453</v>
      </c>
      <c r="I9" s="147">
        <v>46685</v>
      </c>
      <c r="J9" s="204">
        <f>SUM(J10:J11)</f>
        <v>24988</v>
      </c>
      <c r="K9" s="94">
        <f>SUM(K10:K11)</f>
        <v>46685</v>
      </c>
    </row>
    <row r="10" spans="1:22" ht="27.75" customHeight="1">
      <c r="A10" s="953"/>
      <c r="B10" s="959"/>
      <c r="C10" s="958"/>
      <c r="D10" s="961" t="s">
        <v>256</v>
      </c>
      <c r="E10" s="961"/>
      <c r="F10" s="159">
        <v>42607</v>
      </c>
      <c r="G10" s="145">
        <v>42274</v>
      </c>
      <c r="H10" s="145">
        <v>12385</v>
      </c>
      <c r="I10" s="145">
        <v>19027</v>
      </c>
      <c r="J10" s="202">
        <f>'表２１－１'!Y8</f>
        <v>800</v>
      </c>
      <c r="K10" s="259">
        <f>'表２１－１'!X8</f>
        <v>19027</v>
      </c>
      <c r="L10" s="259"/>
      <c r="M10" s="259"/>
      <c r="N10" s="259"/>
      <c r="O10" s="259"/>
      <c r="P10" s="259"/>
      <c r="Q10" s="259"/>
      <c r="R10" s="259"/>
      <c r="S10" s="259"/>
      <c r="T10" s="259"/>
      <c r="U10" s="259"/>
      <c r="V10" s="259"/>
    </row>
    <row r="11" spans="1:11" ht="27.75" customHeight="1">
      <c r="A11" s="953"/>
      <c r="B11" s="959"/>
      <c r="C11" s="959"/>
      <c r="D11" s="969" t="s">
        <v>50</v>
      </c>
      <c r="E11" s="970"/>
      <c r="F11" s="159">
        <v>12823</v>
      </c>
      <c r="G11" s="145">
        <v>21931</v>
      </c>
      <c r="H11" s="145">
        <v>22068</v>
      </c>
      <c r="I11" s="145">
        <v>27658</v>
      </c>
      <c r="J11" s="202">
        <f>J12</f>
        <v>24188</v>
      </c>
      <c r="K11" s="476">
        <f>K12</f>
        <v>27658</v>
      </c>
    </row>
    <row r="12" spans="1:11" ht="27.75" customHeight="1" thickBot="1">
      <c r="A12" s="954"/>
      <c r="B12" s="968"/>
      <c r="C12" s="968"/>
      <c r="D12" s="372"/>
      <c r="E12" s="12" t="s">
        <v>51</v>
      </c>
      <c r="F12" s="162">
        <v>12823</v>
      </c>
      <c r="G12" s="148">
        <v>21931</v>
      </c>
      <c r="H12" s="148">
        <v>22068</v>
      </c>
      <c r="I12" s="148">
        <v>27658</v>
      </c>
      <c r="J12" s="205">
        <f>'表２１－１'!E45</f>
        <v>24188</v>
      </c>
      <c r="K12" s="476">
        <f>'表２１－１'!D45</f>
        <v>27658</v>
      </c>
    </row>
    <row r="13" spans="1:10" ht="27.75" customHeight="1" thickTop="1">
      <c r="A13" s="935" t="s">
        <v>52</v>
      </c>
      <c r="B13" s="962" t="s">
        <v>28</v>
      </c>
      <c r="C13" s="962"/>
      <c r="D13" s="962"/>
      <c r="E13" s="962"/>
      <c r="F13" s="189">
        <v>100</v>
      </c>
      <c r="G13" s="206">
        <f aca="true" t="shared" si="0" ref="G13:G19">G3/F3*100</f>
        <v>101.5163646642744</v>
      </c>
      <c r="H13" s="189">
        <f>H3/F3*100</f>
        <v>98.95766159582934</v>
      </c>
      <c r="I13" s="206">
        <f>I3/F3*100</f>
        <v>100.34175489268785</v>
      </c>
      <c r="J13" s="207">
        <f>J3/F3*100</f>
        <v>97.05526606946796</v>
      </c>
    </row>
    <row r="14" spans="1:10" ht="27.75" customHeight="1">
      <c r="A14" s="936"/>
      <c r="B14" s="958"/>
      <c r="C14" s="963" t="s">
        <v>45</v>
      </c>
      <c r="D14" s="963"/>
      <c r="E14" s="963"/>
      <c r="F14" s="189">
        <v>100</v>
      </c>
      <c r="G14" s="206">
        <f t="shared" si="0"/>
        <v>100.27411995233675</v>
      </c>
      <c r="H14" s="189">
        <f aca="true" t="shared" si="1" ref="H14:H20">H4/F4*100</f>
        <v>98.69165168896146</v>
      </c>
      <c r="I14" s="206">
        <f aca="true" t="shared" si="2" ref="I14:I20">I4/F4*100</f>
        <v>98.32459176109913</v>
      </c>
      <c r="J14" s="207">
        <f aca="true" t="shared" si="3" ref="J14:J20">J4/F4*100</f>
        <v>98.81235236390054</v>
      </c>
    </row>
    <row r="15" spans="1:10" ht="27.75" customHeight="1">
      <c r="A15" s="936"/>
      <c r="B15" s="959"/>
      <c r="C15" s="958"/>
      <c r="D15" s="965" t="s">
        <v>46</v>
      </c>
      <c r="E15" s="965"/>
      <c r="F15" s="189">
        <v>100</v>
      </c>
      <c r="G15" s="206">
        <f t="shared" si="0"/>
        <v>94.16458121725132</v>
      </c>
      <c r="H15" s="189">
        <f t="shared" si="1"/>
        <v>99.32213272933375</v>
      </c>
      <c r="I15" s="206">
        <f t="shared" si="2"/>
        <v>99.28988114022084</v>
      </c>
      <c r="J15" s="207">
        <f t="shared" si="3"/>
        <v>105.75923761861449</v>
      </c>
    </row>
    <row r="16" spans="1:10" ht="27.75" customHeight="1">
      <c r="A16" s="936"/>
      <c r="B16" s="959"/>
      <c r="C16" s="959"/>
      <c r="D16" s="965" t="s">
        <v>257</v>
      </c>
      <c r="E16" s="965"/>
      <c r="F16" s="189">
        <v>100</v>
      </c>
      <c r="G16" s="206">
        <f t="shared" si="0"/>
        <v>98.44233647250653</v>
      </c>
      <c r="H16" s="189">
        <f t="shared" si="1"/>
        <v>96.13708732310404</v>
      </c>
      <c r="I16" s="206">
        <f t="shared" si="2"/>
        <v>96.49739007107449</v>
      </c>
      <c r="J16" s="207">
        <f t="shared" si="3"/>
        <v>95.10387823964057</v>
      </c>
    </row>
    <row r="17" spans="1:10" ht="27.75" customHeight="1">
      <c r="A17" s="936"/>
      <c r="B17" s="959"/>
      <c r="C17" s="964"/>
      <c r="D17" s="965" t="s">
        <v>47</v>
      </c>
      <c r="E17" s="965"/>
      <c r="F17" s="189">
        <v>100</v>
      </c>
      <c r="G17" s="206">
        <f t="shared" si="0"/>
        <v>106.78734889416359</v>
      </c>
      <c r="H17" s="189">
        <f t="shared" si="1"/>
        <v>103.72471643096901</v>
      </c>
      <c r="I17" s="206">
        <f t="shared" si="2"/>
        <v>101.69694637364397</v>
      </c>
      <c r="J17" s="207">
        <f t="shared" si="3"/>
        <v>103.44926268566972</v>
      </c>
    </row>
    <row r="18" spans="1:10" ht="27.75" customHeight="1">
      <c r="A18" s="936"/>
      <c r="B18" s="959"/>
      <c r="C18" s="966" t="s">
        <v>53</v>
      </c>
      <c r="D18" s="966"/>
      <c r="E18" s="966"/>
      <c r="F18" s="189">
        <v>100</v>
      </c>
      <c r="G18" s="206">
        <f t="shared" si="0"/>
        <v>122.6993398146915</v>
      </c>
      <c r="H18" s="189">
        <f t="shared" si="1"/>
        <v>103.70392496337588</v>
      </c>
      <c r="I18" s="206">
        <f t="shared" si="2"/>
        <v>134.94632902722552</v>
      </c>
      <c r="J18" s="207">
        <f t="shared" si="3"/>
        <v>67.26042122486254</v>
      </c>
    </row>
    <row r="19" spans="1:10" ht="27.75" customHeight="1">
      <c r="A19" s="936"/>
      <c r="B19" s="959"/>
      <c r="C19" s="967" t="s">
        <v>54</v>
      </c>
      <c r="D19" s="967"/>
      <c r="E19" s="967"/>
      <c r="F19" s="189">
        <v>100</v>
      </c>
      <c r="G19" s="206">
        <f t="shared" si="0"/>
        <v>115.83077755727945</v>
      </c>
      <c r="H19" s="189">
        <f t="shared" si="1"/>
        <v>62.15587227133321</v>
      </c>
      <c r="I19" s="206">
        <f t="shared" si="2"/>
        <v>84.2233447591557</v>
      </c>
      <c r="J19" s="194">
        <f t="shared" si="3"/>
        <v>45.08028143604546</v>
      </c>
    </row>
    <row r="20" spans="1:10" ht="27.75" customHeight="1">
      <c r="A20" s="936"/>
      <c r="B20" s="959"/>
      <c r="C20" s="958"/>
      <c r="D20" s="961" t="s">
        <v>256</v>
      </c>
      <c r="E20" s="961"/>
      <c r="F20" s="189">
        <v>100</v>
      </c>
      <c r="G20" s="206">
        <f>G10/F10*100</f>
        <v>99.21843828478887</v>
      </c>
      <c r="H20" s="189">
        <f t="shared" si="1"/>
        <v>29.067993522191188</v>
      </c>
      <c r="I20" s="206">
        <f t="shared" si="2"/>
        <v>44.656981247212904</v>
      </c>
      <c r="J20" s="207">
        <f t="shared" si="3"/>
        <v>1.8776257422489264</v>
      </c>
    </row>
    <row r="21" spans="1:10" ht="27.75" customHeight="1">
      <c r="A21" s="936"/>
      <c r="B21" s="959"/>
      <c r="C21" s="959"/>
      <c r="D21" s="961" t="s">
        <v>50</v>
      </c>
      <c r="E21" s="961"/>
      <c r="F21" s="189">
        <v>100</v>
      </c>
      <c r="G21" s="373" t="s">
        <v>296</v>
      </c>
      <c r="H21" s="373" t="s">
        <v>296</v>
      </c>
      <c r="I21" s="373" t="s">
        <v>296</v>
      </c>
      <c r="J21" s="375" t="s">
        <v>296</v>
      </c>
    </row>
    <row r="22" spans="1:10" ht="27.75" customHeight="1" thickBot="1">
      <c r="A22" s="937"/>
      <c r="B22" s="960"/>
      <c r="C22" s="960"/>
      <c r="D22" s="371"/>
      <c r="E22" s="13" t="s">
        <v>51</v>
      </c>
      <c r="F22" s="208">
        <v>100</v>
      </c>
      <c r="G22" s="374" t="s">
        <v>297</v>
      </c>
      <c r="H22" s="374" t="s">
        <v>297</v>
      </c>
      <c r="I22" s="374" t="s">
        <v>297</v>
      </c>
      <c r="J22" s="376" t="s">
        <v>296</v>
      </c>
    </row>
    <row r="24" ht="12.75">
      <c r="B24" s="7" t="s">
        <v>277</v>
      </c>
    </row>
  </sheetData>
  <sheetProtection/>
  <mergeCells count="28">
    <mergeCell ref="A1:G1"/>
    <mergeCell ref="A2:E2"/>
    <mergeCell ref="A3:A12"/>
    <mergeCell ref="B3:E3"/>
    <mergeCell ref="B4:B12"/>
    <mergeCell ref="C4:E4"/>
    <mergeCell ref="C5:C7"/>
    <mergeCell ref="D5:E5"/>
    <mergeCell ref="D6:E6"/>
    <mergeCell ref="D7:E7"/>
    <mergeCell ref="D17:E17"/>
    <mergeCell ref="C18:E18"/>
    <mergeCell ref="C19:E19"/>
    <mergeCell ref="C8:E8"/>
    <mergeCell ref="C9:E9"/>
    <mergeCell ref="C10:C12"/>
    <mergeCell ref="D10:E10"/>
    <mergeCell ref="D11:E11"/>
    <mergeCell ref="C20:C22"/>
    <mergeCell ref="D20:E20"/>
    <mergeCell ref="D21:E21"/>
    <mergeCell ref="A13:A22"/>
    <mergeCell ref="B13:E13"/>
    <mergeCell ref="B14:B22"/>
    <mergeCell ref="C14:E14"/>
    <mergeCell ref="C15:C17"/>
    <mergeCell ref="D15:E15"/>
    <mergeCell ref="D16:E16"/>
  </mergeCells>
  <printOptions/>
  <pageMargins left="0.7874015748031497" right="0.33" top="0.984251968503937" bottom="0.984251968503937" header="0.5118110236220472" footer="0.5118110236220472"/>
  <pageSetup horizontalDpi="300" verticalDpi="300" orientation="portrait" paperSize="9" scale="95" r:id="rId1"/>
</worksheet>
</file>

<file path=xl/worksheets/sheet30.xml><?xml version="1.0" encoding="utf-8"?>
<worksheet xmlns="http://schemas.openxmlformats.org/spreadsheetml/2006/main" xmlns:r="http://schemas.openxmlformats.org/officeDocument/2006/relationships">
  <sheetPr codeName="Sheet30">
    <tabColor rgb="FFFF0000"/>
  </sheetPr>
  <dimension ref="A1:G3"/>
  <sheetViews>
    <sheetView showGridLines="0" zoomScalePageLayoutView="0" workbookViewId="0" topLeftCell="A1">
      <selection activeCell="A1" sqref="A1"/>
    </sheetView>
  </sheetViews>
  <sheetFormatPr defaultColWidth="9.00390625" defaultRowHeight="13.5"/>
  <sheetData>
    <row r="1" spans="2:6" ht="12.75">
      <c r="B1" s="518" t="s">
        <v>387</v>
      </c>
      <c r="C1" s="518" t="s">
        <v>47</v>
      </c>
      <c r="D1" s="518" t="s">
        <v>46</v>
      </c>
      <c r="E1" s="518" t="s">
        <v>94</v>
      </c>
      <c r="F1" s="518" t="s">
        <v>394</v>
      </c>
    </row>
    <row r="2" spans="1:7" ht="12.75">
      <c r="A2" s="498" t="s">
        <v>395</v>
      </c>
      <c r="B2" s="519">
        <f>'第３表'!F8</f>
        <v>54.7</v>
      </c>
      <c r="C2" s="519">
        <f>'第３表'!F9</f>
        <v>28.6</v>
      </c>
      <c r="D2" s="519">
        <f>'第３表'!F7</f>
        <v>12.9</v>
      </c>
      <c r="E2" s="519">
        <f>'第３表'!F10</f>
        <v>3.8</v>
      </c>
      <c r="F2" s="519">
        <f>'第３表'!F11</f>
        <v>0</v>
      </c>
      <c r="G2" s="520"/>
    </row>
    <row r="3" ht="12.75">
      <c r="G3" s="520"/>
    </row>
  </sheetData>
  <sheetProtection/>
  <printOptions/>
  <pageMargins left="0.7" right="0.7" top="0.75" bottom="0.75" header="0.3" footer="0.3"/>
  <pageSetup orientation="portrait" paperSize="9" r:id="rId2"/>
  <drawing r:id="rId1"/>
</worksheet>
</file>

<file path=xl/worksheets/sheet31.xml><?xml version="1.0" encoding="utf-8"?>
<worksheet xmlns="http://schemas.openxmlformats.org/spreadsheetml/2006/main" xmlns:r="http://schemas.openxmlformats.org/officeDocument/2006/relationships">
  <sheetPr codeName="Sheet31">
    <tabColor rgb="FFFF0000"/>
  </sheetPr>
  <dimension ref="A1:R47"/>
  <sheetViews>
    <sheetView showGridLines="0" zoomScale="66" zoomScaleNormal="66" zoomScalePageLayoutView="0" workbookViewId="0" topLeftCell="A1">
      <selection activeCell="A1" sqref="A1"/>
    </sheetView>
  </sheetViews>
  <sheetFormatPr defaultColWidth="9.00390625" defaultRowHeight="13.5"/>
  <cols>
    <col min="2" max="2" width="2.625" style="0" customWidth="1"/>
    <col min="3" max="3" width="24.75390625" style="0" customWidth="1"/>
    <col min="4" max="17" width="7.25390625" style="0" customWidth="1"/>
    <col min="18" max="18" width="10.875" style="0" bestFit="1" customWidth="1"/>
  </cols>
  <sheetData>
    <row r="1" spans="1:18" ht="12.75">
      <c r="A1" s="558"/>
      <c r="B1" s="876" t="s">
        <v>401</v>
      </c>
      <c r="C1" s="872"/>
      <c r="D1" s="872"/>
      <c r="E1" s="872"/>
      <c r="F1" s="872"/>
      <c r="G1" s="872"/>
      <c r="H1" s="872"/>
      <c r="I1" s="872"/>
      <c r="J1" s="872"/>
      <c r="K1" s="872"/>
      <c r="L1" s="872"/>
      <c r="M1" s="872"/>
      <c r="N1" s="872"/>
      <c r="O1" s="872"/>
      <c r="P1" s="872"/>
      <c r="Q1" s="872"/>
      <c r="R1" s="558"/>
    </row>
    <row r="2" spans="1:18" ht="13.5" thickBot="1">
      <c r="A2" s="558"/>
      <c r="B2" s="877"/>
      <c r="C2" s="878"/>
      <c r="D2" s="878"/>
      <c r="E2" s="878"/>
      <c r="F2" s="878"/>
      <c r="G2" s="878"/>
      <c r="H2" s="878"/>
      <c r="I2" s="878"/>
      <c r="J2" s="878"/>
      <c r="K2" s="878"/>
      <c r="L2" s="878"/>
      <c r="M2" s="878"/>
      <c r="N2" s="878"/>
      <c r="O2" s="878"/>
      <c r="P2" s="878"/>
      <c r="Q2" s="878"/>
      <c r="R2" s="558"/>
    </row>
    <row r="3" spans="1:18" ht="13.5" thickTop="1">
      <c r="A3" s="558"/>
      <c r="B3" s="857"/>
      <c r="C3" s="858" t="s">
        <v>527</v>
      </c>
      <c r="D3" s="1278" t="s">
        <v>37</v>
      </c>
      <c r="E3" s="1281" t="s">
        <v>363</v>
      </c>
      <c r="F3" s="1282"/>
      <c r="G3" s="1282"/>
      <c r="H3" s="1282"/>
      <c r="I3" s="1282"/>
      <c r="J3" s="1282"/>
      <c r="K3" s="1282"/>
      <c r="L3" s="1282"/>
      <c r="M3" s="1282"/>
      <c r="N3" s="1282"/>
      <c r="O3" s="1283"/>
      <c r="P3" s="1284" t="s">
        <v>406</v>
      </c>
      <c r="Q3" s="1261" t="s">
        <v>407</v>
      </c>
      <c r="R3" s="558"/>
    </row>
    <row r="4" spans="1:18" ht="20.25" customHeight="1">
      <c r="A4" s="872"/>
      <c r="B4" s="758"/>
      <c r="C4" s="759"/>
      <c r="D4" s="1279"/>
      <c r="E4" s="1264" t="s">
        <v>63</v>
      </c>
      <c r="F4" s="1264" t="s">
        <v>30</v>
      </c>
      <c r="G4" s="1264" t="s">
        <v>31</v>
      </c>
      <c r="H4" s="1264" t="s">
        <v>32</v>
      </c>
      <c r="I4" s="1264" t="s">
        <v>243</v>
      </c>
      <c r="J4" s="1266" t="s">
        <v>33</v>
      </c>
      <c r="K4" s="1267"/>
      <c r="L4" s="1268"/>
      <c r="M4" s="1269" t="s">
        <v>379</v>
      </c>
      <c r="N4" s="1271" t="s">
        <v>408</v>
      </c>
      <c r="O4" s="1272" t="s">
        <v>380</v>
      </c>
      <c r="P4" s="1285"/>
      <c r="Q4" s="1262"/>
      <c r="R4" s="871" t="s">
        <v>522</v>
      </c>
    </row>
    <row r="5" spans="1:18" ht="27" customHeight="1" thickBot="1">
      <c r="A5" s="558"/>
      <c r="B5" s="760" t="s">
        <v>526</v>
      </c>
      <c r="C5" s="761"/>
      <c r="D5" s="1280"/>
      <c r="E5" s="1265"/>
      <c r="F5" s="1265"/>
      <c r="G5" s="1265"/>
      <c r="H5" s="1265"/>
      <c r="I5" s="1265"/>
      <c r="J5" s="852" t="s">
        <v>409</v>
      </c>
      <c r="K5" s="852" t="s">
        <v>410</v>
      </c>
      <c r="L5" s="852" t="s">
        <v>411</v>
      </c>
      <c r="M5" s="1270"/>
      <c r="N5" s="1265"/>
      <c r="O5" s="1273"/>
      <c r="P5" s="1286"/>
      <c r="Q5" s="1263"/>
      <c r="R5" s="879"/>
    </row>
    <row r="6" spans="1:18" ht="19.5" customHeight="1">
      <c r="A6" s="558"/>
      <c r="B6" s="1287" t="s">
        <v>403</v>
      </c>
      <c r="C6" s="1288"/>
      <c r="D6" s="763" t="s">
        <v>366</v>
      </c>
      <c r="E6" s="763" t="s">
        <v>366</v>
      </c>
      <c r="F6" s="763" t="s">
        <v>366</v>
      </c>
      <c r="G6" s="763" t="s">
        <v>366</v>
      </c>
      <c r="H6" s="763" t="s">
        <v>366</v>
      </c>
      <c r="I6" s="763" t="s">
        <v>366</v>
      </c>
      <c r="J6" s="763" t="s">
        <v>366</v>
      </c>
      <c r="K6" s="763" t="s">
        <v>366</v>
      </c>
      <c r="L6" s="763" t="s">
        <v>366</v>
      </c>
      <c r="M6" s="763" t="s">
        <v>366</v>
      </c>
      <c r="N6" s="763" t="s">
        <v>366</v>
      </c>
      <c r="O6" s="764" t="s">
        <v>366</v>
      </c>
      <c r="P6" s="763" t="s">
        <v>366</v>
      </c>
      <c r="Q6" s="765" t="s">
        <v>366</v>
      </c>
      <c r="R6" s="872"/>
    </row>
    <row r="7" spans="1:18" ht="19.5" customHeight="1">
      <c r="A7" s="558"/>
      <c r="B7" s="1289"/>
      <c r="C7" s="1290"/>
      <c r="D7" s="766">
        <f>SUM(D8,D12:D13)</f>
        <v>100.00000000000001</v>
      </c>
      <c r="E7" s="766">
        <f aca="true" t="shared" si="0" ref="E7:Q7">SUM(E8,E12:E13)</f>
        <v>100.00000000000001</v>
      </c>
      <c r="F7" s="766">
        <f t="shared" si="0"/>
        <v>100</v>
      </c>
      <c r="G7" s="766">
        <f t="shared" si="0"/>
        <v>99.99999999999999</v>
      </c>
      <c r="H7" s="766">
        <f t="shared" si="0"/>
        <v>100.00000000000001</v>
      </c>
      <c r="I7" s="766">
        <f t="shared" si="0"/>
        <v>100</v>
      </c>
      <c r="J7" s="766">
        <f t="shared" si="0"/>
        <v>100</v>
      </c>
      <c r="K7" s="766">
        <f t="shared" si="0"/>
        <v>100</v>
      </c>
      <c r="L7" s="766">
        <f t="shared" si="0"/>
        <v>100</v>
      </c>
      <c r="M7" s="766">
        <f t="shared" si="0"/>
        <v>100</v>
      </c>
      <c r="N7" s="766">
        <f t="shared" si="0"/>
        <v>100</v>
      </c>
      <c r="O7" s="766">
        <f t="shared" si="0"/>
        <v>100</v>
      </c>
      <c r="P7" s="766">
        <f t="shared" si="0"/>
        <v>100</v>
      </c>
      <c r="Q7" s="767">
        <f t="shared" si="0"/>
        <v>100</v>
      </c>
      <c r="R7" s="872"/>
    </row>
    <row r="8" spans="1:18" ht="19.5" customHeight="1">
      <c r="A8" s="872"/>
      <c r="B8" s="1291" t="s">
        <v>45</v>
      </c>
      <c r="C8" s="1292"/>
      <c r="D8" s="768">
        <f>SUM(D9:D11)</f>
        <v>96.20000000000002</v>
      </c>
      <c r="E8" s="768">
        <f aca="true" t="shared" si="1" ref="E8:Q8">SUM(E9:E11)</f>
        <v>96.30000000000001</v>
      </c>
      <c r="F8" s="768">
        <f t="shared" si="1"/>
        <v>96.2</v>
      </c>
      <c r="G8" s="768">
        <f t="shared" si="1"/>
        <v>94.99999999999999</v>
      </c>
      <c r="H8" s="768">
        <f t="shared" si="1"/>
        <v>94.80000000000001</v>
      </c>
      <c r="I8" s="768">
        <f t="shared" si="1"/>
        <v>100</v>
      </c>
      <c r="J8" s="768">
        <f t="shared" si="1"/>
        <v>99.7</v>
      </c>
      <c r="K8" s="768">
        <f t="shared" si="1"/>
        <v>100</v>
      </c>
      <c r="L8" s="768">
        <f t="shared" si="1"/>
        <v>100</v>
      </c>
      <c r="M8" s="768">
        <f t="shared" si="1"/>
        <v>100</v>
      </c>
      <c r="N8" s="768">
        <f t="shared" si="1"/>
        <v>100</v>
      </c>
      <c r="O8" s="768">
        <f t="shared" si="1"/>
        <v>87</v>
      </c>
      <c r="P8" s="768">
        <f t="shared" si="1"/>
        <v>93</v>
      </c>
      <c r="Q8" s="769">
        <f t="shared" si="1"/>
        <v>98.9</v>
      </c>
      <c r="R8" s="872"/>
    </row>
    <row r="9" spans="1:18" ht="19.5" customHeight="1">
      <c r="A9" s="872"/>
      <c r="B9" s="770"/>
      <c r="C9" s="10" t="s">
        <v>46</v>
      </c>
      <c r="D9" s="771">
        <f aca="true" t="shared" si="2" ref="D9:Q9">D25</f>
        <v>12.9</v>
      </c>
      <c r="E9" s="772">
        <f t="shared" si="2"/>
        <v>15.2</v>
      </c>
      <c r="F9" s="772">
        <f t="shared" si="2"/>
        <v>0.2</v>
      </c>
      <c r="G9" s="772">
        <f t="shared" si="2"/>
        <v>19.9</v>
      </c>
      <c r="H9" s="772">
        <f t="shared" si="2"/>
        <v>20.3</v>
      </c>
      <c r="I9" s="772">
        <f t="shared" si="2"/>
        <v>12.8</v>
      </c>
      <c r="J9" s="772">
        <f t="shared" si="2"/>
        <v>1.3</v>
      </c>
      <c r="K9" s="772">
        <f t="shared" si="2"/>
        <v>0.6</v>
      </c>
      <c r="L9" s="772">
        <f t="shared" si="2"/>
        <v>1.6</v>
      </c>
      <c r="M9" s="772">
        <f t="shared" si="2"/>
        <v>8.2</v>
      </c>
      <c r="N9" s="772">
        <f t="shared" si="2"/>
        <v>10.3</v>
      </c>
      <c r="O9" s="772">
        <f t="shared" si="2"/>
        <v>2.8</v>
      </c>
      <c r="P9" s="772">
        <f t="shared" si="2"/>
        <v>1.7</v>
      </c>
      <c r="Q9" s="773">
        <f t="shared" si="2"/>
        <v>0.9</v>
      </c>
      <c r="R9" s="872"/>
    </row>
    <row r="10" spans="1:18" ht="19.5" customHeight="1">
      <c r="A10" s="872"/>
      <c r="B10" s="774"/>
      <c r="C10" s="10" t="s">
        <v>387</v>
      </c>
      <c r="D10" s="772">
        <f aca="true" t="shared" si="3" ref="D10:Q10">D26</f>
        <v>54.7</v>
      </c>
      <c r="E10" s="772">
        <f t="shared" si="3"/>
        <v>61</v>
      </c>
      <c r="F10" s="772">
        <f t="shared" si="3"/>
        <v>0.5</v>
      </c>
      <c r="G10" s="772">
        <f t="shared" si="3"/>
        <v>47.8</v>
      </c>
      <c r="H10" s="772">
        <f t="shared" si="3"/>
        <v>48.9</v>
      </c>
      <c r="I10" s="772">
        <f t="shared" si="3"/>
        <v>87.2</v>
      </c>
      <c r="J10" s="772">
        <f t="shared" si="3"/>
        <v>98.4</v>
      </c>
      <c r="K10" s="772">
        <f t="shared" si="3"/>
        <v>99.4</v>
      </c>
      <c r="L10" s="772">
        <f t="shared" si="3"/>
        <v>98.4</v>
      </c>
      <c r="M10" s="772">
        <f t="shared" si="3"/>
        <v>91.8</v>
      </c>
      <c r="N10" s="772">
        <f t="shared" si="3"/>
        <v>89.7</v>
      </c>
      <c r="O10" s="772">
        <f t="shared" si="3"/>
        <v>4.9</v>
      </c>
      <c r="P10" s="772">
        <f t="shared" si="3"/>
        <v>11.7</v>
      </c>
      <c r="Q10" s="773">
        <f t="shared" si="3"/>
        <v>35.3</v>
      </c>
      <c r="R10" s="872"/>
    </row>
    <row r="11" spans="1:18" ht="19.5" customHeight="1">
      <c r="A11" s="872"/>
      <c r="B11" s="775"/>
      <c r="C11" s="10" t="s">
        <v>556</v>
      </c>
      <c r="D11" s="772">
        <f aca="true" t="shared" si="4" ref="D11:Q11">D27</f>
        <v>28.6</v>
      </c>
      <c r="E11" s="771">
        <f t="shared" si="4"/>
        <v>20.1</v>
      </c>
      <c r="F11" s="771">
        <f t="shared" si="4"/>
        <v>95.5</v>
      </c>
      <c r="G11" s="771">
        <f t="shared" si="4"/>
        <v>27.299999999999997</v>
      </c>
      <c r="H11" s="771">
        <f t="shared" si="4"/>
        <v>25.6</v>
      </c>
      <c r="I11" s="771">
        <f t="shared" si="4"/>
        <v>0</v>
      </c>
      <c r="J11" s="771">
        <f t="shared" si="4"/>
        <v>0</v>
      </c>
      <c r="K11" s="771">
        <f t="shared" si="4"/>
        <v>0</v>
      </c>
      <c r="L11" s="771">
        <f t="shared" si="4"/>
        <v>0</v>
      </c>
      <c r="M11" s="771">
        <f t="shared" si="4"/>
        <v>0</v>
      </c>
      <c r="N11" s="771">
        <f t="shared" si="4"/>
        <v>0</v>
      </c>
      <c r="O11" s="771">
        <f t="shared" si="4"/>
        <v>79.3</v>
      </c>
      <c r="P11" s="771">
        <f t="shared" si="4"/>
        <v>79.6</v>
      </c>
      <c r="Q11" s="776">
        <f t="shared" si="4"/>
        <v>62.7</v>
      </c>
      <c r="R11" s="872"/>
    </row>
    <row r="12" spans="1:18" ht="19.5" customHeight="1">
      <c r="A12" s="872"/>
      <c r="B12" s="1293" t="s">
        <v>48</v>
      </c>
      <c r="C12" s="1294"/>
      <c r="D12" s="768">
        <f aca="true" t="shared" si="5" ref="D12:Q12">D28</f>
        <v>3.8</v>
      </c>
      <c r="E12" s="768">
        <f t="shared" si="5"/>
        <v>3.7</v>
      </c>
      <c r="F12" s="768">
        <f t="shared" si="5"/>
        <v>3.8</v>
      </c>
      <c r="G12" s="768">
        <f t="shared" si="5"/>
        <v>5</v>
      </c>
      <c r="H12" s="768">
        <f t="shared" si="5"/>
        <v>5.2</v>
      </c>
      <c r="I12" s="768">
        <f t="shared" si="5"/>
        <v>0</v>
      </c>
      <c r="J12" s="768">
        <f t="shared" si="5"/>
        <v>0.3</v>
      </c>
      <c r="K12" s="768">
        <f t="shared" si="5"/>
        <v>0</v>
      </c>
      <c r="L12" s="768">
        <f t="shared" si="5"/>
        <v>0</v>
      </c>
      <c r="M12" s="768">
        <f t="shared" si="5"/>
        <v>0</v>
      </c>
      <c r="N12" s="768">
        <f t="shared" si="5"/>
        <v>0</v>
      </c>
      <c r="O12" s="768">
        <f t="shared" si="5"/>
        <v>13</v>
      </c>
      <c r="P12" s="768">
        <f t="shared" si="5"/>
        <v>6.9</v>
      </c>
      <c r="Q12" s="769">
        <f t="shared" si="5"/>
        <v>1.1</v>
      </c>
      <c r="R12" s="872"/>
    </row>
    <row r="13" spans="1:18" ht="19.5" customHeight="1">
      <c r="A13" s="872"/>
      <c r="B13" s="1293" t="s">
        <v>390</v>
      </c>
      <c r="C13" s="1294"/>
      <c r="D13" s="768">
        <f aca="true" t="shared" si="6" ref="D13:Q13">D29</f>
        <v>0</v>
      </c>
      <c r="E13" s="777">
        <f t="shared" si="6"/>
        <v>0</v>
      </c>
      <c r="F13" s="777">
        <f t="shared" si="6"/>
        <v>0</v>
      </c>
      <c r="G13" s="777">
        <f t="shared" si="6"/>
        <v>0</v>
      </c>
      <c r="H13" s="777">
        <f t="shared" si="6"/>
        <v>0</v>
      </c>
      <c r="I13" s="777">
        <f t="shared" si="6"/>
        <v>0</v>
      </c>
      <c r="J13" s="777">
        <f t="shared" si="6"/>
        <v>0</v>
      </c>
      <c r="K13" s="777">
        <f t="shared" si="6"/>
        <v>0</v>
      </c>
      <c r="L13" s="777">
        <f t="shared" si="6"/>
        <v>0</v>
      </c>
      <c r="M13" s="777">
        <f t="shared" si="6"/>
        <v>0</v>
      </c>
      <c r="N13" s="777">
        <f t="shared" si="6"/>
        <v>0</v>
      </c>
      <c r="O13" s="777">
        <f t="shared" si="6"/>
        <v>0</v>
      </c>
      <c r="P13" s="777">
        <f t="shared" si="6"/>
        <v>0.1</v>
      </c>
      <c r="Q13" s="778">
        <f t="shared" si="6"/>
        <v>0</v>
      </c>
      <c r="R13" s="872"/>
    </row>
    <row r="14" spans="1:18" ht="19.5" customHeight="1">
      <c r="A14" s="872"/>
      <c r="B14" s="1274" t="s">
        <v>400</v>
      </c>
      <c r="C14" s="1275"/>
      <c r="D14" s="779">
        <f aca="true" t="shared" si="7" ref="D14:Q14">D30</f>
        <v>0</v>
      </c>
      <c r="E14" s="779">
        <f t="shared" si="7"/>
        <v>0</v>
      </c>
      <c r="F14" s="779">
        <f t="shared" si="7"/>
        <v>0</v>
      </c>
      <c r="G14" s="779">
        <f t="shared" si="7"/>
        <v>0</v>
      </c>
      <c r="H14" s="779">
        <f t="shared" si="7"/>
        <v>0</v>
      </c>
      <c r="I14" s="779">
        <f t="shared" si="7"/>
        <v>0</v>
      </c>
      <c r="J14" s="779">
        <f t="shared" si="7"/>
        <v>0</v>
      </c>
      <c r="K14" s="779">
        <f t="shared" si="7"/>
        <v>0</v>
      </c>
      <c r="L14" s="779">
        <f t="shared" si="7"/>
        <v>0</v>
      </c>
      <c r="M14" s="779">
        <f t="shared" si="7"/>
        <v>0</v>
      </c>
      <c r="N14" s="779">
        <f t="shared" si="7"/>
        <v>0</v>
      </c>
      <c r="O14" s="779">
        <f t="shared" si="7"/>
        <v>0</v>
      </c>
      <c r="P14" s="779">
        <f t="shared" si="7"/>
        <v>0</v>
      </c>
      <c r="Q14" s="773">
        <f t="shared" si="7"/>
        <v>0</v>
      </c>
      <c r="R14" s="872"/>
    </row>
    <row r="15" spans="1:18" ht="19.5" customHeight="1" thickBot="1">
      <c r="A15" s="872"/>
      <c r="B15" s="1276" t="s">
        <v>402</v>
      </c>
      <c r="C15" s="1277"/>
      <c r="D15" s="781">
        <f aca="true" t="shared" si="8" ref="D15:Q15">D31</f>
        <v>0</v>
      </c>
      <c r="E15" s="781">
        <f t="shared" si="8"/>
        <v>0</v>
      </c>
      <c r="F15" s="781">
        <f t="shared" si="8"/>
        <v>0</v>
      </c>
      <c r="G15" s="781">
        <f t="shared" si="8"/>
        <v>0</v>
      </c>
      <c r="H15" s="781">
        <f t="shared" si="8"/>
        <v>0</v>
      </c>
      <c r="I15" s="781">
        <f t="shared" si="8"/>
        <v>0</v>
      </c>
      <c r="J15" s="781">
        <f t="shared" si="8"/>
        <v>0</v>
      </c>
      <c r="K15" s="781">
        <f t="shared" si="8"/>
        <v>0</v>
      </c>
      <c r="L15" s="781">
        <f t="shared" si="8"/>
        <v>0</v>
      </c>
      <c r="M15" s="781">
        <f t="shared" si="8"/>
        <v>0</v>
      </c>
      <c r="N15" s="781">
        <f t="shared" si="8"/>
        <v>0</v>
      </c>
      <c r="O15" s="781">
        <f t="shared" si="8"/>
        <v>0</v>
      </c>
      <c r="P15" s="781">
        <f t="shared" si="8"/>
        <v>0.1</v>
      </c>
      <c r="Q15" s="782">
        <f t="shared" si="8"/>
        <v>0</v>
      </c>
      <c r="R15" s="872"/>
    </row>
    <row r="16" spans="1:18" ht="19.5" customHeight="1" thickTop="1">
      <c r="A16" s="872"/>
      <c r="B16" s="880"/>
      <c r="C16" s="880"/>
      <c r="D16" s="881"/>
      <c r="E16" s="881"/>
      <c r="F16" s="881"/>
      <c r="G16" s="881"/>
      <c r="H16" s="881"/>
      <c r="I16" s="881"/>
      <c r="J16" s="881"/>
      <c r="K16" s="881"/>
      <c r="L16" s="881"/>
      <c r="M16" s="881"/>
      <c r="N16" s="881"/>
      <c r="O16" s="881"/>
      <c r="P16" s="881"/>
      <c r="Q16" s="881"/>
      <c r="R16" s="872"/>
    </row>
    <row r="17" spans="2:17" ht="12.75">
      <c r="B17" s="700"/>
      <c r="C17" s="72"/>
      <c r="D17" s="72"/>
      <c r="E17" s="72"/>
      <c r="F17" s="72"/>
      <c r="G17" s="72"/>
      <c r="H17" s="72"/>
      <c r="I17" s="72"/>
      <c r="J17" s="72"/>
      <c r="K17" s="72"/>
      <c r="L17" s="72"/>
      <c r="M17" s="72"/>
      <c r="N17" s="72"/>
      <c r="O17" s="72"/>
      <c r="P17" s="72"/>
      <c r="Q17" s="72"/>
    </row>
    <row r="18" spans="2:17" ht="13.5" thickBot="1">
      <c r="B18" s="701"/>
      <c r="C18" s="702"/>
      <c r="D18" s="702"/>
      <c r="E18" s="702"/>
      <c r="F18" s="702"/>
      <c r="G18" s="702"/>
      <c r="H18" s="702"/>
      <c r="I18" s="702"/>
      <c r="J18" s="702"/>
      <c r="K18" s="702"/>
      <c r="L18" s="702"/>
      <c r="M18" s="702"/>
      <c r="N18" s="702"/>
      <c r="O18" s="702"/>
      <c r="P18" s="702"/>
      <c r="Q18" s="702"/>
    </row>
    <row r="19" spans="2:17" ht="13.5" thickTop="1">
      <c r="B19" s="758"/>
      <c r="C19" s="780" t="s">
        <v>527</v>
      </c>
      <c r="D19" s="1297" t="s">
        <v>37</v>
      </c>
      <c r="E19" s="1298" t="s">
        <v>363</v>
      </c>
      <c r="F19" s="1299"/>
      <c r="G19" s="1299"/>
      <c r="H19" s="1299"/>
      <c r="I19" s="1299"/>
      <c r="J19" s="1299"/>
      <c r="K19" s="1299"/>
      <c r="L19" s="1299"/>
      <c r="M19" s="1299"/>
      <c r="N19" s="1299"/>
      <c r="O19" s="1300"/>
      <c r="P19" s="1295" t="s">
        <v>406</v>
      </c>
      <c r="Q19" s="1296" t="s">
        <v>407</v>
      </c>
    </row>
    <row r="20" spans="2:18" ht="20.25" customHeight="1">
      <c r="B20" s="758"/>
      <c r="C20" s="759"/>
      <c r="D20" s="1279"/>
      <c r="E20" s="1264" t="s">
        <v>63</v>
      </c>
      <c r="F20" s="1264" t="s">
        <v>30</v>
      </c>
      <c r="G20" s="1264" t="s">
        <v>31</v>
      </c>
      <c r="H20" s="1264" t="s">
        <v>32</v>
      </c>
      <c r="I20" s="1264" t="s">
        <v>243</v>
      </c>
      <c r="J20" s="1266" t="s">
        <v>33</v>
      </c>
      <c r="K20" s="1267"/>
      <c r="L20" s="1268"/>
      <c r="M20" s="1269" t="s">
        <v>379</v>
      </c>
      <c r="N20" s="1271" t="s">
        <v>408</v>
      </c>
      <c r="O20" s="1272" t="s">
        <v>380</v>
      </c>
      <c r="P20" s="1285"/>
      <c r="Q20" s="1262"/>
      <c r="R20" s="517" t="s">
        <v>561</v>
      </c>
    </row>
    <row r="21" spans="2:18" ht="27" customHeight="1" thickBot="1">
      <c r="B21" s="760" t="s">
        <v>526</v>
      </c>
      <c r="C21" s="761"/>
      <c r="D21" s="1280"/>
      <c r="E21" s="1265"/>
      <c r="F21" s="1265"/>
      <c r="G21" s="1265"/>
      <c r="H21" s="1265"/>
      <c r="I21" s="1265"/>
      <c r="J21" s="762" t="s">
        <v>409</v>
      </c>
      <c r="K21" s="762" t="s">
        <v>410</v>
      </c>
      <c r="L21" s="762" t="s">
        <v>411</v>
      </c>
      <c r="M21" s="1270"/>
      <c r="N21" s="1265"/>
      <c r="O21" s="1273"/>
      <c r="P21" s="1286"/>
      <c r="Q21" s="1263"/>
      <c r="R21" s="507" t="s">
        <v>560</v>
      </c>
    </row>
    <row r="22" spans="2:18" ht="19.5" customHeight="1">
      <c r="B22" s="1287" t="s">
        <v>403</v>
      </c>
      <c r="C22" s="1288"/>
      <c r="D22" s="763" t="s">
        <v>366</v>
      </c>
      <c r="E22" s="763" t="s">
        <v>366</v>
      </c>
      <c r="F22" s="763" t="s">
        <v>366</v>
      </c>
      <c r="G22" s="763" t="s">
        <v>366</v>
      </c>
      <c r="H22" s="763" t="s">
        <v>366</v>
      </c>
      <c r="I22" s="763" t="s">
        <v>366</v>
      </c>
      <c r="J22" s="763" t="s">
        <v>366</v>
      </c>
      <c r="K22" s="763" t="s">
        <v>366</v>
      </c>
      <c r="L22" s="763" t="s">
        <v>366</v>
      </c>
      <c r="M22" s="763" t="s">
        <v>366</v>
      </c>
      <c r="N22" s="763" t="s">
        <v>366</v>
      </c>
      <c r="O22" s="764" t="s">
        <v>366</v>
      </c>
      <c r="P22" s="763" t="s">
        <v>366</v>
      </c>
      <c r="Q22" s="765" t="s">
        <v>366</v>
      </c>
      <c r="R22" s="72"/>
    </row>
    <row r="23" spans="2:18" ht="19.5" customHeight="1">
      <c r="B23" s="1289"/>
      <c r="C23" s="1290"/>
      <c r="D23" s="766">
        <f>ROUND($D39/$D$39*100,1)</f>
        <v>100</v>
      </c>
      <c r="E23" s="766">
        <f>ROUND($E39/$E$39*100,1)</f>
        <v>100</v>
      </c>
      <c r="F23" s="766">
        <f>ROUND($F39/$F$39*100,1)</f>
        <v>100</v>
      </c>
      <c r="G23" s="766">
        <f aca="true" t="shared" si="9" ref="G23:G31">ROUND($G39/$G$39*100,1)</f>
        <v>100</v>
      </c>
      <c r="H23" s="766">
        <f aca="true" t="shared" si="10" ref="H23:H31">ROUND($H39/$H$39*100,1)</f>
        <v>100</v>
      </c>
      <c r="I23" s="766">
        <f aca="true" t="shared" si="11" ref="I23:I31">ROUND($I39/$I$39*100,1)</f>
        <v>100</v>
      </c>
      <c r="J23" s="766">
        <f aca="true" t="shared" si="12" ref="J23:J31">ROUND($J39/$J$39*100,1)</f>
        <v>100</v>
      </c>
      <c r="K23" s="766">
        <f aca="true" t="shared" si="13" ref="K23:K31">ROUND($K39/$K$39*100,1)</f>
        <v>100</v>
      </c>
      <c r="L23" s="766">
        <f aca="true" t="shared" si="14" ref="L23:L31">ROUND($L39/$L$39*100,1)</f>
        <v>100</v>
      </c>
      <c r="M23" s="766">
        <f aca="true" t="shared" si="15" ref="M23:M31">ROUND($M39/$M$39*100,1)</f>
        <v>100</v>
      </c>
      <c r="N23" s="766">
        <f aca="true" t="shared" si="16" ref="N23:N31">ROUND($N39/$N$39*100,1)</f>
        <v>100</v>
      </c>
      <c r="O23" s="766">
        <f aca="true" t="shared" si="17" ref="O23:O31">ROUND($O39/$O$39*100,1)</f>
        <v>100</v>
      </c>
      <c r="P23" s="766">
        <f aca="true" t="shared" si="18" ref="P23:P31">ROUND($P39/$P$39*100,1)</f>
        <v>100</v>
      </c>
      <c r="Q23" s="767">
        <f aca="true" t="shared" si="19" ref="Q23:Q31">ROUND($Q39/$Q$39*100,1)</f>
        <v>100</v>
      </c>
      <c r="R23" s="72"/>
    </row>
    <row r="24" spans="1:18" ht="19.5" customHeight="1">
      <c r="A24" s="72"/>
      <c r="B24" s="1291" t="s">
        <v>45</v>
      </c>
      <c r="C24" s="1292"/>
      <c r="D24" s="768">
        <f aca="true" t="shared" si="20" ref="D24:D31">ROUND($D40/$D$39*100,1)</f>
        <v>96.2</v>
      </c>
      <c r="E24" s="768">
        <f aca="true" t="shared" si="21" ref="E24:E31">ROUND($E40/$E$39*100,1)</f>
        <v>96.3</v>
      </c>
      <c r="F24" s="768">
        <f aca="true" t="shared" si="22" ref="F24:F31">ROUND($F40/$F$39*100,1)</f>
        <v>96.2</v>
      </c>
      <c r="G24" s="768">
        <f t="shared" si="9"/>
        <v>95</v>
      </c>
      <c r="H24" s="768">
        <f t="shared" si="10"/>
        <v>94.8</v>
      </c>
      <c r="I24" s="768">
        <f t="shared" si="11"/>
        <v>100</v>
      </c>
      <c r="J24" s="768">
        <f t="shared" si="12"/>
        <v>99.7</v>
      </c>
      <c r="K24" s="768">
        <f t="shared" si="13"/>
        <v>100</v>
      </c>
      <c r="L24" s="768">
        <f t="shared" si="14"/>
        <v>100</v>
      </c>
      <c r="M24" s="768">
        <f t="shared" si="15"/>
        <v>100</v>
      </c>
      <c r="N24" s="768">
        <f t="shared" si="16"/>
        <v>100</v>
      </c>
      <c r="O24" s="768">
        <f t="shared" si="17"/>
        <v>87</v>
      </c>
      <c r="P24" s="768">
        <f t="shared" si="18"/>
        <v>93</v>
      </c>
      <c r="Q24" s="769">
        <f t="shared" si="19"/>
        <v>98.9</v>
      </c>
      <c r="R24" s="72"/>
    </row>
    <row r="25" spans="1:18" ht="19.5" customHeight="1">
      <c r="A25" s="72"/>
      <c r="B25" s="770"/>
      <c r="C25" s="10" t="s">
        <v>46</v>
      </c>
      <c r="D25" s="771">
        <f t="shared" si="20"/>
        <v>12.9</v>
      </c>
      <c r="E25" s="855">
        <f>ROUND($E41/$E$39*100,1)+0.1</f>
        <v>15.2</v>
      </c>
      <c r="F25" s="772">
        <f t="shared" si="22"/>
        <v>0.2</v>
      </c>
      <c r="G25" s="772">
        <f t="shared" si="9"/>
        <v>19.9</v>
      </c>
      <c r="H25" s="772">
        <f t="shared" si="10"/>
        <v>20.3</v>
      </c>
      <c r="I25" s="772">
        <f t="shared" si="11"/>
        <v>12.8</v>
      </c>
      <c r="J25" s="772">
        <f t="shared" si="12"/>
        <v>1.3</v>
      </c>
      <c r="K25" s="772">
        <f t="shared" si="13"/>
        <v>0.6</v>
      </c>
      <c r="L25" s="772">
        <f t="shared" si="14"/>
        <v>1.6</v>
      </c>
      <c r="M25" s="772">
        <f t="shared" si="15"/>
        <v>8.2</v>
      </c>
      <c r="N25" s="772">
        <f t="shared" si="16"/>
        <v>10.3</v>
      </c>
      <c r="O25" s="772">
        <f t="shared" si="17"/>
        <v>2.8</v>
      </c>
      <c r="P25" s="772">
        <f t="shared" si="18"/>
        <v>1.7</v>
      </c>
      <c r="Q25" s="773">
        <f t="shared" si="19"/>
        <v>0.9</v>
      </c>
      <c r="R25" s="72"/>
    </row>
    <row r="26" spans="1:18" ht="19.5" customHeight="1">
      <c r="A26" s="72"/>
      <c r="B26" s="774"/>
      <c r="C26" s="10" t="s">
        <v>387</v>
      </c>
      <c r="D26" s="855">
        <f>ROUND($D42/$D$39*100,1)+0.1</f>
        <v>54.7</v>
      </c>
      <c r="E26" s="772">
        <f t="shared" si="21"/>
        <v>61</v>
      </c>
      <c r="F26" s="772">
        <f t="shared" si="22"/>
        <v>0.5</v>
      </c>
      <c r="G26" s="772">
        <f t="shared" si="9"/>
        <v>47.8</v>
      </c>
      <c r="H26" s="772">
        <f t="shared" si="10"/>
        <v>48.9</v>
      </c>
      <c r="I26" s="772">
        <f t="shared" si="11"/>
        <v>87.2</v>
      </c>
      <c r="J26" s="772">
        <f t="shared" si="12"/>
        <v>98.4</v>
      </c>
      <c r="K26" s="772">
        <f t="shared" si="13"/>
        <v>99.4</v>
      </c>
      <c r="L26" s="772">
        <f t="shared" si="14"/>
        <v>98.4</v>
      </c>
      <c r="M26" s="772">
        <f t="shared" si="15"/>
        <v>91.8</v>
      </c>
      <c r="N26" s="772">
        <f t="shared" si="16"/>
        <v>89.7</v>
      </c>
      <c r="O26" s="772">
        <f t="shared" si="17"/>
        <v>4.9</v>
      </c>
      <c r="P26" s="772">
        <f t="shared" si="18"/>
        <v>11.7</v>
      </c>
      <c r="Q26" s="773">
        <f t="shared" si="19"/>
        <v>35.3</v>
      </c>
      <c r="R26" s="72"/>
    </row>
    <row r="27" spans="1:18" ht="19.5" customHeight="1">
      <c r="A27" s="72"/>
      <c r="B27" s="775"/>
      <c r="C27" s="10" t="s">
        <v>556</v>
      </c>
      <c r="D27" s="772">
        <f t="shared" si="20"/>
        <v>28.6</v>
      </c>
      <c r="E27" s="771">
        <f t="shared" si="21"/>
        <v>20.1</v>
      </c>
      <c r="F27" s="856">
        <f>ROUND($F43/$F$39*100,1)+0.1</f>
        <v>95.5</v>
      </c>
      <c r="G27" s="856">
        <f>ROUND($G43/$G$39*100,1)-0.1</f>
        <v>27.299999999999997</v>
      </c>
      <c r="H27" s="771">
        <f t="shared" si="10"/>
        <v>25.6</v>
      </c>
      <c r="I27" s="771">
        <f t="shared" si="11"/>
        <v>0</v>
      </c>
      <c r="J27" s="771">
        <f t="shared" si="12"/>
        <v>0</v>
      </c>
      <c r="K27" s="771">
        <f t="shared" si="13"/>
        <v>0</v>
      </c>
      <c r="L27" s="771">
        <f t="shared" si="14"/>
        <v>0</v>
      </c>
      <c r="M27" s="771">
        <f t="shared" si="15"/>
        <v>0</v>
      </c>
      <c r="N27" s="771">
        <f t="shared" si="16"/>
        <v>0</v>
      </c>
      <c r="O27" s="856">
        <f>ROUND($O43/$O$39*100,1)+0.1</f>
        <v>79.3</v>
      </c>
      <c r="P27" s="771">
        <f t="shared" si="18"/>
        <v>79.6</v>
      </c>
      <c r="Q27" s="776">
        <f t="shared" si="19"/>
        <v>62.7</v>
      </c>
      <c r="R27" s="72"/>
    </row>
    <row r="28" spans="1:18" ht="19.5" customHeight="1">
      <c r="A28" s="72"/>
      <c r="B28" s="1293" t="s">
        <v>48</v>
      </c>
      <c r="C28" s="1294"/>
      <c r="D28" s="768">
        <f t="shared" si="20"/>
        <v>3.8</v>
      </c>
      <c r="E28" s="768">
        <f t="shared" si="21"/>
        <v>3.7</v>
      </c>
      <c r="F28" s="768">
        <f t="shared" si="22"/>
        <v>3.8</v>
      </c>
      <c r="G28" s="768">
        <f t="shared" si="9"/>
        <v>5</v>
      </c>
      <c r="H28" s="768">
        <f t="shared" si="10"/>
        <v>5.2</v>
      </c>
      <c r="I28" s="768">
        <f t="shared" si="11"/>
        <v>0</v>
      </c>
      <c r="J28" s="768">
        <f t="shared" si="12"/>
        <v>0.3</v>
      </c>
      <c r="K28" s="768">
        <f t="shared" si="13"/>
        <v>0</v>
      </c>
      <c r="L28" s="768">
        <f t="shared" si="14"/>
        <v>0</v>
      </c>
      <c r="M28" s="768">
        <f t="shared" si="15"/>
        <v>0</v>
      </c>
      <c r="N28" s="768">
        <f t="shared" si="16"/>
        <v>0</v>
      </c>
      <c r="O28" s="768">
        <f t="shared" si="17"/>
        <v>13</v>
      </c>
      <c r="P28" s="768">
        <f t="shared" si="18"/>
        <v>6.9</v>
      </c>
      <c r="Q28" s="769">
        <f t="shared" si="19"/>
        <v>1.1</v>
      </c>
      <c r="R28" s="72"/>
    </row>
    <row r="29" spans="1:18" ht="19.5" customHeight="1">
      <c r="A29" s="72"/>
      <c r="B29" s="1293" t="s">
        <v>390</v>
      </c>
      <c r="C29" s="1294"/>
      <c r="D29" s="768">
        <f t="shared" si="20"/>
        <v>0</v>
      </c>
      <c r="E29" s="777">
        <f t="shared" si="21"/>
        <v>0</v>
      </c>
      <c r="F29" s="777">
        <f t="shared" si="22"/>
        <v>0</v>
      </c>
      <c r="G29" s="777">
        <f t="shared" si="9"/>
        <v>0</v>
      </c>
      <c r="H29" s="777">
        <f t="shared" si="10"/>
        <v>0</v>
      </c>
      <c r="I29" s="777">
        <f t="shared" si="11"/>
        <v>0</v>
      </c>
      <c r="J29" s="777">
        <f t="shared" si="12"/>
        <v>0</v>
      </c>
      <c r="K29" s="777">
        <f t="shared" si="13"/>
        <v>0</v>
      </c>
      <c r="L29" s="777">
        <f t="shared" si="14"/>
        <v>0</v>
      </c>
      <c r="M29" s="777">
        <f t="shared" si="15"/>
        <v>0</v>
      </c>
      <c r="N29" s="777">
        <f t="shared" si="16"/>
        <v>0</v>
      </c>
      <c r="O29" s="777">
        <f t="shared" si="17"/>
        <v>0</v>
      </c>
      <c r="P29" s="777">
        <f t="shared" si="18"/>
        <v>0.1</v>
      </c>
      <c r="Q29" s="778">
        <f t="shared" si="19"/>
        <v>0</v>
      </c>
      <c r="R29" s="72"/>
    </row>
    <row r="30" spans="1:18" ht="19.5" customHeight="1">
      <c r="A30" s="72"/>
      <c r="B30" s="1274" t="s">
        <v>400</v>
      </c>
      <c r="C30" s="1275"/>
      <c r="D30" s="779">
        <f t="shared" si="20"/>
        <v>0</v>
      </c>
      <c r="E30" s="779">
        <f t="shared" si="21"/>
        <v>0</v>
      </c>
      <c r="F30" s="779">
        <f t="shared" si="22"/>
        <v>0</v>
      </c>
      <c r="G30" s="779">
        <f t="shared" si="9"/>
        <v>0</v>
      </c>
      <c r="H30" s="779">
        <f t="shared" si="10"/>
        <v>0</v>
      </c>
      <c r="I30" s="779">
        <f t="shared" si="11"/>
        <v>0</v>
      </c>
      <c r="J30" s="779">
        <f t="shared" si="12"/>
        <v>0</v>
      </c>
      <c r="K30" s="779">
        <f t="shared" si="13"/>
        <v>0</v>
      </c>
      <c r="L30" s="779">
        <f t="shared" si="14"/>
        <v>0</v>
      </c>
      <c r="M30" s="779">
        <f t="shared" si="15"/>
        <v>0</v>
      </c>
      <c r="N30" s="779">
        <f t="shared" si="16"/>
        <v>0</v>
      </c>
      <c r="O30" s="779">
        <f t="shared" si="17"/>
        <v>0</v>
      </c>
      <c r="P30" s="779">
        <f t="shared" si="18"/>
        <v>0</v>
      </c>
      <c r="Q30" s="773">
        <f t="shared" si="19"/>
        <v>0</v>
      </c>
      <c r="R30" s="72"/>
    </row>
    <row r="31" spans="1:18" ht="19.5" customHeight="1" thickBot="1">
      <c r="A31" s="72"/>
      <c r="B31" s="1276" t="s">
        <v>402</v>
      </c>
      <c r="C31" s="1277"/>
      <c r="D31" s="781">
        <f t="shared" si="20"/>
        <v>0</v>
      </c>
      <c r="E31" s="781">
        <f t="shared" si="21"/>
        <v>0</v>
      </c>
      <c r="F31" s="781">
        <f t="shared" si="22"/>
        <v>0</v>
      </c>
      <c r="G31" s="781">
        <f t="shared" si="9"/>
        <v>0</v>
      </c>
      <c r="H31" s="781">
        <f t="shared" si="10"/>
        <v>0</v>
      </c>
      <c r="I31" s="781">
        <f t="shared" si="11"/>
        <v>0</v>
      </c>
      <c r="J31" s="781">
        <f t="shared" si="12"/>
        <v>0</v>
      </c>
      <c r="K31" s="781">
        <f t="shared" si="13"/>
        <v>0</v>
      </c>
      <c r="L31" s="781">
        <f t="shared" si="14"/>
        <v>0</v>
      </c>
      <c r="M31" s="781">
        <f t="shared" si="15"/>
        <v>0</v>
      </c>
      <c r="N31" s="781">
        <f t="shared" si="16"/>
        <v>0</v>
      </c>
      <c r="O31" s="781">
        <f t="shared" si="17"/>
        <v>0</v>
      </c>
      <c r="P31" s="781">
        <f t="shared" si="18"/>
        <v>0.1</v>
      </c>
      <c r="Q31" s="782">
        <f t="shared" si="19"/>
        <v>0</v>
      </c>
      <c r="R31" s="72"/>
    </row>
    <row r="32" ht="13.5" thickTop="1"/>
    <row r="35" ht="13.5" thickBot="1"/>
    <row r="36" spans="1:17" ht="12.75">
      <c r="A36" s="528"/>
      <c r="B36" s="521"/>
      <c r="C36" s="522" t="s">
        <v>376</v>
      </c>
      <c r="D36" s="1301" t="s">
        <v>37</v>
      </c>
      <c r="E36" s="1304" t="s">
        <v>363</v>
      </c>
      <c r="F36" s="1305"/>
      <c r="G36" s="1305"/>
      <c r="H36" s="1305"/>
      <c r="I36" s="1305"/>
      <c r="J36" s="1305"/>
      <c r="K36" s="1305"/>
      <c r="L36" s="1305"/>
      <c r="M36" s="1305"/>
      <c r="N36" s="1305"/>
      <c r="O36" s="1306"/>
      <c r="P36" s="1301" t="s">
        <v>396</v>
      </c>
      <c r="Q36" s="1307" t="s">
        <v>397</v>
      </c>
    </row>
    <row r="37" spans="1:17" ht="12.75">
      <c r="A37" s="529"/>
      <c r="B37" s="523"/>
      <c r="C37" s="524"/>
      <c r="D37" s="1302"/>
      <c r="E37" s="1302" t="s">
        <v>63</v>
      </c>
      <c r="F37" s="1302" t="s">
        <v>30</v>
      </c>
      <c r="G37" s="1302" t="s">
        <v>31</v>
      </c>
      <c r="H37" s="1302" t="s">
        <v>32</v>
      </c>
      <c r="I37" s="1302" t="s">
        <v>243</v>
      </c>
      <c r="J37" s="1310" t="s">
        <v>33</v>
      </c>
      <c r="K37" s="1311"/>
      <c r="L37" s="1312"/>
      <c r="M37" s="1313" t="s">
        <v>379</v>
      </c>
      <c r="N37" s="1302" t="s">
        <v>39</v>
      </c>
      <c r="O37" s="1315" t="s">
        <v>380</v>
      </c>
      <c r="P37" s="1302"/>
      <c r="Q37" s="1308"/>
    </row>
    <row r="38" spans="1:17" ht="21.75" thickBot="1">
      <c r="A38" s="530"/>
      <c r="B38" s="525"/>
      <c r="C38" s="526"/>
      <c r="D38" s="1303"/>
      <c r="E38" s="1303"/>
      <c r="F38" s="1303"/>
      <c r="G38" s="1303"/>
      <c r="H38" s="1303"/>
      <c r="I38" s="1303"/>
      <c r="J38" s="527" t="s">
        <v>34</v>
      </c>
      <c r="K38" s="527" t="s">
        <v>398</v>
      </c>
      <c r="L38" s="527" t="s">
        <v>399</v>
      </c>
      <c r="M38" s="1314"/>
      <c r="N38" s="1303"/>
      <c r="O38" s="1316"/>
      <c r="P38" s="1303"/>
      <c r="Q38" s="1309"/>
    </row>
    <row r="39" spans="1:17" ht="12.75">
      <c r="A39" s="1317" t="s">
        <v>28</v>
      </c>
      <c r="B39" s="1318"/>
      <c r="C39" s="1319"/>
      <c r="D39" s="534">
        <f>'表６'!$E5</f>
        <v>184853627</v>
      </c>
      <c r="E39" s="534">
        <f>'表６'!$E6</f>
        <v>155155034</v>
      </c>
      <c r="F39" s="534">
        <f>'表６'!$E7</f>
        <v>1644298</v>
      </c>
      <c r="G39" s="534">
        <f>'表６'!$E8</f>
        <v>68862366</v>
      </c>
      <c r="H39" s="534">
        <f>'表６'!$E9</f>
        <v>38922117</v>
      </c>
      <c r="I39" s="534">
        <f>'表６'!$E10</f>
        <v>9820800</v>
      </c>
      <c r="J39" s="534">
        <f>'表６'!$E11</f>
        <v>31278749</v>
      </c>
      <c r="K39" s="534">
        <f>'表６'!$E12</f>
        <v>896539</v>
      </c>
      <c r="L39" s="534">
        <f>'表６'!$E13</f>
        <v>177018</v>
      </c>
      <c r="M39" s="534">
        <f>'表６'!$E15</f>
        <v>2236940</v>
      </c>
      <c r="N39" s="534">
        <f>'表６'!$E16</f>
        <v>246601</v>
      </c>
      <c r="O39" s="534">
        <f>'表６'!$E17</f>
        <v>1069606</v>
      </c>
      <c r="P39" s="534">
        <f>'表６'!$E18</f>
        <v>17731350</v>
      </c>
      <c r="Q39" s="534">
        <f>'表６'!$E19</f>
        <v>11967243</v>
      </c>
    </row>
    <row r="40" spans="1:17" ht="12.75">
      <c r="A40" s="531"/>
      <c r="B40" s="1320" t="s">
        <v>45</v>
      </c>
      <c r="C40" s="1312"/>
      <c r="D40" s="534">
        <f>'表６'!$F5</f>
        <v>177758089</v>
      </c>
      <c r="E40" s="534">
        <f>'表６'!$F6</f>
        <v>149431164</v>
      </c>
      <c r="F40" s="534">
        <f>'表６'!$F7</f>
        <v>1581598</v>
      </c>
      <c r="G40" s="534">
        <f>'表６'!$F8</f>
        <v>65431294</v>
      </c>
      <c r="H40" s="534">
        <f>'表６'!$F9</f>
        <v>36917319</v>
      </c>
      <c r="I40" s="534">
        <f>'表６'!$F10</f>
        <v>9820800</v>
      </c>
      <c r="J40" s="534">
        <f>'表６'!$F11</f>
        <v>31192749</v>
      </c>
      <c r="K40" s="534">
        <f>'表６'!$F12</f>
        <v>896539</v>
      </c>
      <c r="L40" s="534">
        <f>'表６'!$F13</f>
        <v>177018</v>
      </c>
      <c r="M40" s="534">
        <f>'表６'!$F15</f>
        <v>2236940</v>
      </c>
      <c r="N40" s="534">
        <f>'表６'!$F16</f>
        <v>246601</v>
      </c>
      <c r="O40" s="534">
        <f>'表６'!$F17</f>
        <v>930306</v>
      </c>
      <c r="P40" s="534">
        <f>'表６'!$F18</f>
        <v>16487682</v>
      </c>
      <c r="Q40" s="534">
        <f>'表６'!$F19</f>
        <v>11839243</v>
      </c>
    </row>
    <row r="41" spans="1:17" ht="12.75">
      <c r="A41" s="532"/>
      <c r="B41" s="499"/>
      <c r="C41" s="497" t="s">
        <v>46</v>
      </c>
      <c r="D41" s="534">
        <f>'表６'!$G5</f>
        <v>23908608</v>
      </c>
      <c r="E41" s="534">
        <f>'表６'!$G6</f>
        <v>23501852</v>
      </c>
      <c r="F41" s="534">
        <f>'表６'!$G7</f>
        <v>3881</v>
      </c>
      <c r="G41" s="534">
        <f>'表６'!$G8</f>
        <v>13683061</v>
      </c>
      <c r="H41" s="534">
        <f>'表６'!$G9</f>
        <v>7908569</v>
      </c>
      <c r="I41" s="534">
        <f>'表６'!$G10</f>
        <v>1258862</v>
      </c>
      <c r="J41" s="534">
        <f>'表６'!$G11</f>
        <v>399673</v>
      </c>
      <c r="K41" s="534">
        <f>'表６'!$G12</f>
        <v>5392</v>
      </c>
      <c r="L41" s="534">
        <f>'表６'!$G13</f>
        <v>2908</v>
      </c>
      <c r="M41" s="534">
        <f>'表６'!$G15</f>
        <v>184275</v>
      </c>
      <c r="N41" s="534">
        <f>'表６'!$G16</f>
        <v>25294</v>
      </c>
      <c r="O41" s="534">
        <f>'表６'!$G17</f>
        <v>29937</v>
      </c>
      <c r="P41" s="534">
        <f>'表６'!$G18</f>
        <v>303415</v>
      </c>
      <c r="Q41" s="534">
        <f>'表６'!$G19</f>
        <v>103341</v>
      </c>
    </row>
    <row r="42" spans="1:17" ht="12.75">
      <c r="A42" s="532"/>
      <c r="B42" s="500"/>
      <c r="C42" s="497" t="s">
        <v>387</v>
      </c>
      <c r="D42" s="534">
        <f>'表６'!$H5</f>
        <v>101011268</v>
      </c>
      <c r="E42" s="534">
        <f>'表６'!$H6</f>
        <v>94711638</v>
      </c>
      <c r="F42" s="534">
        <f>'表６'!$H7</f>
        <v>8373</v>
      </c>
      <c r="G42" s="534">
        <f>'表６'!$H8</f>
        <v>32905437</v>
      </c>
      <c r="H42" s="534">
        <f>'表６'!$H9</f>
        <v>19050821</v>
      </c>
      <c r="I42" s="534">
        <f>'表６'!$H10</f>
        <v>8561938</v>
      </c>
      <c r="J42" s="534">
        <f>'表６'!$H11</f>
        <v>30793076</v>
      </c>
      <c r="K42" s="534">
        <f>'表６'!$H12</f>
        <v>891147</v>
      </c>
      <c r="L42" s="534">
        <f>'表６'!$H13</f>
        <v>174110</v>
      </c>
      <c r="M42" s="534">
        <f>'表６'!$H15</f>
        <v>2052665</v>
      </c>
      <c r="N42" s="534">
        <f>'表６'!$H16</f>
        <v>221307</v>
      </c>
      <c r="O42" s="534">
        <f>'表６'!$H17</f>
        <v>52764</v>
      </c>
      <c r="P42" s="534">
        <f>'表６'!$H18</f>
        <v>2069641</v>
      </c>
      <c r="Q42" s="534">
        <f>'表６'!$H19</f>
        <v>4229989</v>
      </c>
    </row>
    <row r="43" spans="1:17" ht="12.75">
      <c r="A43" s="532"/>
      <c r="B43" s="516"/>
      <c r="C43" s="497" t="s">
        <v>47</v>
      </c>
      <c r="D43" s="534">
        <f>'表６'!$I5</f>
        <v>52838213</v>
      </c>
      <c r="E43" s="534">
        <f>'表６'!$I6</f>
        <v>31217674</v>
      </c>
      <c r="F43" s="534">
        <f>'表６'!$I7</f>
        <v>1569344</v>
      </c>
      <c r="G43" s="534">
        <f>'表６'!$I8</f>
        <v>18842796</v>
      </c>
      <c r="H43" s="534">
        <f>'表６'!$I9</f>
        <v>9957929</v>
      </c>
      <c r="I43" s="534">
        <f>'表６'!$I10</f>
        <v>0</v>
      </c>
      <c r="J43" s="534">
        <f>'表６'!$I11</f>
        <v>0</v>
      </c>
      <c r="K43" s="534">
        <f>'表６'!$I12</f>
        <v>0</v>
      </c>
      <c r="L43" s="534">
        <f>'表６'!$I13</f>
        <v>0</v>
      </c>
      <c r="M43" s="534">
        <f>'表６'!$I15</f>
        <v>0</v>
      </c>
      <c r="N43" s="534">
        <f>'表６'!$I16</f>
        <v>0</v>
      </c>
      <c r="O43" s="534">
        <f>'表６'!$I17</f>
        <v>847605</v>
      </c>
      <c r="P43" s="534">
        <f>'表６'!$I18</f>
        <v>14114626</v>
      </c>
      <c r="Q43" s="534">
        <f>'表６'!$I19</f>
        <v>7505913</v>
      </c>
    </row>
    <row r="44" spans="1:17" ht="12.75">
      <c r="A44" s="532"/>
      <c r="B44" s="1321" t="s">
        <v>48</v>
      </c>
      <c r="C44" s="1052"/>
      <c r="D44" s="534">
        <f>'表６'!$J5</f>
        <v>7070550</v>
      </c>
      <c r="E44" s="534">
        <f>'表６'!$J6</f>
        <v>5723290</v>
      </c>
      <c r="F44" s="534">
        <f>'表６'!$J7</f>
        <v>62700</v>
      </c>
      <c r="G44" s="534">
        <f>'表６'!$J8</f>
        <v>3430742</v>
      </c>
      <c r="H44" s="534">
        <f>'表６'!$J9</f>
        <v>2004548</v>
      </c>
      <c r="I44" s="534">
        <f>'表６'!$J10</f>
        <v>0</v>
      </c>
      <c r="J44" s="534">
        <f>'表６'!$J11</f>
        <v>86000</v>
      </c>
      <c r="K44" s="534">
        <f>'表６'!$J12</f>
        <v>0</v>
      </c>
      <c r="L44" s="534">
        <f>'表６'!$J13</f>
        <v>0</v>
      </c>
      <c r="M44" s="534">
        <f>'表６'!$J15</f>
        <v>0</v>
      </c>
      <c r="N44" s="534">
        <f>'表６'!$J16</f>
        <v>0</v>
      </c>
      <c r="O44" s="534">
        <f>'表６'!$J17</f>
        <v>139300</v>
      </c>
      <c r="P44" s="534">
        <f>'表６'!$J18</f>
        <v>1219360</v>
      </c>
      <c r="Q44" s="534">
        <f>'表６'!$J19</f>
        <v>127900</v>
      </c>
    </row>
    <row r="45" spans="1:17" ht="12.75">
      <c r="A45" s="532"/>
      <c r="B45" s="1321" t="s">
        <v>390</v>
      </c>
      <c r="C45" s="1052"/>
      <c r="D45" s="535">
        <f>D46+D47</f>
        <v>24988</v>
      </c>
      <c r="E45" s="535">
        <f aca="true" t="shared" si="23" ref="E45:Q45">E46+E47</f>
        <v>580</v>
      </c>
      <c r="F45" s="535">
        <f t="shared" si="23"/>
        <v>0</v>
      </c>
      <c r="G45" s="535">
        <f t="shared" si="23"/>
        <v>330</v>
      </c>
      <c r="H45" s="535">
        <f t="shared" si="23"/>
        <v>250</v>
      </c>
      <c r="I45" s="535">
        <f t="shared" si="23"/>
        <v>0</v>
      </c>
      <c r="J45" s="535">
        <f t="shared" si="23"/>
        <v>0</v>
      </c>
      <c r="K45" s="535">
        <f t="shared" si="23"/>
        <v>0</v>
      </c>
      <c r="L45" s="535">
        <f t="shared" si="23"/>
        <v>0</v>
      </c>
      <c r="M45" s="535">
        <f t="shared" si="23"/>
        <v>0</v>
      </c>
      <c r="N45" s="535">
        <f t="shared" si="23"/>
        <v>0</v>
      </c>
      <c r="O45" s="535">
        <f t="shared" si="23"/>
        <v>0</v>
      </c>
      <c r="P45" s="535">
        <f t="shared" si="23"/>
        <v>24308</v>
      </c>
      <c r="Q45" s="535">
        <f t="shared" si="23"/>
        <v>100</v>
      </c>
    </row>
    <row r="46" spans="1:17" ht="12.75">
      <c r="A46" s="532"/>
      <c r="B46" s="1322" t="s">
        <v>404</v>
      </c>
      <c r="C46" s="1323"/>
      <c r="D46" s="534">
        <f>'表６'!$K5</f>
        <v>800</v>
      </c>
      <c r="E46" s="534">
        <f>'表６'!$K6</f>
        <v>580</v>
      </c>
      <c r="F46" s="534">
        <f>'表６'!$K7</f>
        <v>0</v>
      </c>
      <c r="G46" s="534">
        <f>'表６'!$K8</f>
        <v>330</v>
      </c>
      <c r="H46" s="534">
        <f>'表６'!$K9</f>
        <v>250</v>
      </c>
      <c r="I46" s="534">
        <f>'表６'!$K10</f>
        <v>0</v>
      </c>
      <c r="J46" s="534">
        <f>'表６'!$K11</f>
        <v>0</v>
      </c>
      <c r="K46" s="534">
        <f>'表６'!$K12</f>
        <v>0</v>
      </c>
      <c r="L46" s="534">
        <f>'表６'!$K13</f>
        <v>0</v>
      </c>
      <c r="M46" s="534">
        <f>'表６'!$K15</f>
        <v>0</v>
      </c>
      <c r="N46" s="534">
        <f>'表６'!$K16</f>
        <v>0</v>
      </c>
      <c r="O46" s="534">
        <f>'表６'!$K17</f>
        <v>0</v>
      </c>
      <c r="P46" s="534">
        <f>'表６'!$K18</f>
        <v>120</v>
      </c>
      <c r="Q46" s="534">
        <f>'表６'!$K19</f>
        <v>100</v>
      </c>
    </row>
    <row r="47" spans="1:17" ht="13.5" thickBot="1">
      <c r="A47" s="533"/>
      <c r="B47" s="1324" t="s">
        <v>405</v>
      </c>
      <c r="C47" s="1325"/>
      <c r="D47" s="534">
        <f>'表６'!$L5</f>
        <v>24188</v>
      </c>
      <c r="E47" s="534">
        <f>'表６'!$L6</f>
        <v>0</v>
      </c>
      <c r="F47" s="534">
        <f>'表６'!$L7</f>
        <v>0</v>
      </c>
      <c r="G47" s="534">
        <f>'表６'!$L8</f>
        <v>0</v>
      </c>
      <c r="H47" s="534">
        <f>'表６'!$L9</f>
        <v>0</v>
      </c>
      <c r="I47" s="534">
        <f>'表６'!$L10</f>
        <v>0</v>
      </c>
      <c r="J47" s="534">
        <f>'表６'!$L11</f>
        <v>0</v>
      </c>
      <c r="K47" s="534">
        <f>'表６'!$L12</f>
        <v>0</v>
      </c>
      <c r="L47" s="534">
        <f>'表６'!$L13</f>
        <v>0</v>
      </c>
      <c r="M47" s="534">
        <f>'表６'!$L15</f>
        <v>0</v>
      </c>
      <c r="N47" s="534">
        <f>'表６'!$L16</f>
        <v>0</v>
      </c>
      <c r="O47" s="534">
        <f>'表６'!$L17</f>
        <v>0</v>
      </c>
      <c r="P47" s="534">
        <f>'表６'!$L18</f>
        <v>24188</v>
      </c>
      <c r="Q47" s="534">
        <f>'表６'!$L19</f>
        <v>0</v>
      </c>
    </row>
  </sheetData>
  <sheetProtection/>
  <mergeCells count="57">
    <mergeCell ref="A39:C39"/>
    <mergeCell ref="B40:C40"/>
    <mergeCell ref="B44:C44"/>
    <mergeCell ref="B45:C45"/>
    <mergeCell ref="B46:C46"/>
    <mergeCell ref="B47:C47"/>
    <mergeCell ref="Q36:Q38"/>
    <mergeCell ref="E37:E38"/>
    <mergeCell ref="F37:F38"/>
    <mergeCell ref="G37:G38"/>
    <mergeCell ref="H37:H38"/>
    <mergeCell ref="I37:I38"/>
    <mergeCell ref="J37:L37"/>
    <mergeCell ref="M37:M38"/>
    <mergeCell ref="N37:N38"/>
    <mergeCell ref="O37:O38"/>
    <mergeCell ref="B30:C30"/>
    <mergeCell ref="B31:C31"/>
    <mergeCell ref="B22:C23"/>
    <mergeCell ref="D36:D38"/>
    <mergeCell ref="E36:O36"/>
    <mergeCell ref="P36:P38"/>
    <mergeCell ref="O20:O21"/>
    <mergeCell ref="B24:C24"/>
    <mergeCell ref="B28:C28"/>
    <mergeCell ref="B29:C29"/>
    <mergeCell ref="D19:D21"/>
    <mergeCell ref="E19:O19"/>
    <mergeCell ref="P19:P21"/>
    <mergeCell ref="Q19:Q21"/>
    <mergeCell ref="E20:E21"/>
    <mergeCell ref="F20:F21"/>
    <mergeCell ref="G20:G21"/>
    <mergeCell ref="H20:H21"/>
    <mergeCell ref="I20:I21"/>
    <mergeCell ref="J20:L20"/>
    <mergeCell ref="M20:M21"/>
    <mergeCell ref="N20:N21"/>
    <mergeCell ref="B14:C14"/>
    <mergeCell ref="B15:C15"/>
    <mergeCell ref="D3:D5"/>
    <mergeCell ref="E3:O3"/>
    <mergeCell ref="P3:P5"/>
    <mergeCell ref="B6:C7"/>
    <mergeCell ref="B8:C8"/>
    <mergeCell ref="B12:C12"/>
    <mergeCell ref="B13:C13"/>
    <mergeCell ref="Q3:Q5"/>
    <mergeCell ref="E4:E5"/>
    <mergeCell ref="F4:F5"/>
    <mergeCell ref="G4:G5"/>
    <mergeCell ref="H4:H5"/>
    <mergeCell ref="I4:I5"/>
    <mergeCell ref="J4:L4"/>
    <mergeCell ref="M4:M5"/>
    <mergeCell ref="N4:N5"/>
    <mergeCell ref="O4:O5"/>
  </mergeCells>
  <printOptions/>
  <pageMargins left="0.7" right="0.7" top="0.75" bottom="0.75" header="0.3" footer="0.3"/>
  <pageSetup orientation="portrait" paperSize="9" r:id="rId2"/>
  <ignoredErrors>
    <ignoredError sqref="F23:F26 I23:I31 F28:F31" formula="1"/>
  </ignoredErrors>
  <drawing r:id="rId1"/>
</worksheet>
</file>

<file path=xl/worksheets/sheet32.xml><?xml version="1.0" encoding="utf-8"?>
<worksheet xmlns="http://schemas.openxmlformats.org/spreadsheetml/2006/main" xmlns:r="http://schemas.openxmlformats.org/officeDocument/2006/relationships">
  <sheetPr codeName="Sheet32">
    <tabColor rgb="FFFF0000"/>
  </sheetPr>
  <dimension ref="A1:I18"/>
  <sheetViews>
    <sheetView showGridLines="0" zoomScalePageLayoutView="0" workbookViewId="0" topLeftCell="A1">
      <selection activeCell="A1" sqref="A1"/>
    </sheetView>
  </sheetViews>
  <sheetFormatPr defaultColWidth="9.00390625" defaultRowHeight="13.5"/>
  <cols>
    <col min="2" max="2" width="2.625" style="0" customWidth="1"/>
    <col min="3" max="3" width="15.375" style="0" customWidth="1"/>
    <col min="4" max="5" width="12.75390625" style="0" bestFit="1" customWidth="1"/>
    <col min="6" max="6" width="8.50390625" style="0" bestFit="1" customWidth="1"/>
    <col min="7" max="8" width="10.50390625" style="0" bestFit="1" customWidth="1"/>
  </cols>
  <sheetData>
    <row r="1" spans="1:9" ht="13.5" thickBot="1">
      <c r="A1" s="558"/>
      <c r="B1" s="877" t="s">
        <v>425</v>
      </c>
      <c r="C1" s="878"/>
      <c r="D1" s="878"/>
      <c r="E1" s="878"/>
      <c r="F1" s="878"/>
      <c r="G1" s="878"/>
      <c r="H1" s="878"/>
      <c r="I1" s="558"/>
    </row>
    <row r="2" spans="1:9" ht="18.75" customHeight="1" thickTop="1">
      <c r="A2" s="872"/>
      <c r="B2" s="1331" t="s">
        <v>419</v>
      </c>
      <c r="C2" s="1332"/>
      <c r="D2" s="1328" t="s">
        <v>420</v>
      </c>
      <c r="E2" s="1329"/>
      <c r="F2" s="1330"/>
      <c r="G2" s="1326" t="s">
        <v>421</v>
      </c>
      <c r="H2" s="1327"/>
      <c r="I2" s="558"/>
    </row>
    <row r="3" spans="1:9" ht="28.5" customHeight="1">
      <c r="A3" s="872"/>
      <c r="B3" s="1333"/>
      <c r="C3" s="1334"/>
      <c r="D3" s="538" t="s">
        <v>413</v>
      </c>
      <c r="E3" s="539" t="s">
        <v>414</v>
      </c>
      <c r="F3" s="540" t="s">
        <v>415</v>
      </c>
      <c r="G3" s="541" t="s">
        <v>416</v>
      </c>
      <c r="H3" s="542" t="s">
        <v>414</v>
      </c>
      <c r="I3" s="558"/>
    </row>
    <row r="4" spans="1:9" ht="9.75" customHeight="1">
      <c r="A4" s="872"/>
      <c r="B4" s="1335" t="s">
        <v>422</v>
      </c>
      <c r="C4" s="1336"/>
      <c r="D4" s="536" t="s">
        <v>417</v>
      </c>
      <c r="E4" s="536" t="s">
        <v>417</v>
      </c>
      <c r="F4" s="536" t="s">
        <v>418</v>
      </c>
      <c r="G4" s="536" t="s">
        <v>418</v>
      </c>
      <c r="H4" s="537" t="s">
        <v>418</v>
      </c>
      <c r="I4" s="872"/>
    </row>
    <row r="5" spans="1:9" ht="21" customHeight="1">
      <c r="A5" s="872"/>
      <c r="B5" s="1337"/>
      <c r="C5" s="1338"/>
      <c r="D5" s="544">
        <f>'表２１－１'!E8</f>
        <v>184853627</v>
      </c>
      <c r="E5" s="544">
        <f>'表２１－１'!D8</f>
        <v>191113147</v>
      </c>
      <c r="F5" s="549">
        <f>(D5-E5)/E5*100</f>
        <v>-3.2752953411415495</v>
      </c>
      <c r="G5" s="552">
        <f>SUM(G6:G8)</f>
        <v>99.99999999999999</v>
      </c>
      <c r="H5" s="553">
        <f>SUM(H6:H8)</f>
        <v>100</v>
      </c>
      <c r="I5" s="872"/>
    </row>
    <row r="6" spans="1:9" ht="19.5" customHeight="1">
      <c r="A6" s="872"/>
      <c r="B6" s="770"/>
      <c r="C6" s="10" t="s">
        <v>423</v>
      </c>
      <c r="D6" s="543">
        <f>'表２１－１'!I45</f>
        <v>155506132</v>
      </c>
      <c r="E6" s="547">
        <f>'表２１－１'!H45</f>
        <v>157159448</v>
      </c>
      <c r="F6" s="599">
        <f>(D6-E6)/E6*100</f>
        <v>-1.0519991136644868</v>
      </c>
      <c r="G6" s="548">
        <v>84.1</v>
      </c>
      <c r="H6" s="554">
        <v>82.3</v>
      </c>
      <c r="I6" s="882"/>
    </row>
    <row r="7" spans="1:9" ht="19.5" customHeight="1">
      <c r="A7" s="872"/>
      <c r="B7" s="774"/>
      <c r="C7" s="10" t="s">
        <v>23</v>
      </c>
      <c r="D7" s="543">
        <f>'表２１－１'!M45</f>
        <v>20414440</v>
      </c>
      <c r="E7" s="547">
        <f>'表２１－１'!L45</f>
        <v>24907891</v>
      </c>
      <c r="F7" s="549">
        <f>(D7-E7)/E7*100</f>
        <v>-18.040270852317445</v>
      </c>
      <c r="G7" s="548">
        <v>11.1</v>
      </c>
      <c r="H7" s="554">
        <v>13</v>
      </c>
      <c r="I7" s="558"/>
    </row>
    <row r="8" spans="1:9" ht="19.5" customHeight="1" thickBot="1">
      <c r="A8" s="872"/>
      <c r="B8" s="854"/>
      <c r="C8" s="783" t="s">
        <v>424</v>
      </c>
      <c r="D8" s="784">
        <f>'表２１－１'!Q45</f>
        <v>8933055</v>
      </c>
      <c r="E8" s="785">
        <f>'表２１－１'!P45</f>
        <v>9045808</v>
      </c>
      <c r="F8" s="786">
        <f>(D8-E8)/E8*100</f>
        <v>-1.2464668717266605</v>
      </c>
      <c r="G8" s="787">
        <v>4.8</v>
      </c>
      <c r="H8" s="788">
        <v>4.7</v>
      </c>
      <c r="I8" s="558"/>
    </row>
    <row r="9" spans="1:9" ht="13.5" thickTop="1">
      <c r="A9" s="872"/>
      <c r="B9" s="883"/>
      <c r="C9" s="884"/>
      <c r="D9" s="885"/>
      <c r="E9" s="886"/>
      <c r="F9" s="887"/>
      <c r="G9" s="888"/>
      <c r="H9" s="883"/>
      <c r="I9" s="558"/>
    </row>
    <row r="10" spans="1:8" ht="12.75">
      <c r="A10" s="72"/>
      <c r="B10" s="550"/>
      <c r="C10" s="550"/>
      <c r="D10" s="550"/>
      <c r="E10" s="550"/>
      <c r="F10" s="550"/>
      <c r="G10" s="551">
        <f>SUM(G11:G13)</f>
        <v>1</v>
      </c>
      <c r="H10" s="551">
        <f>SUM(H11:H13)</f>
        <v>1</v>
      </c>
    </row>
    <row r="11" spans="2:8" ht="12.75">
      <c r="B11" s="72"/>
      <c r="C11" s="546"/>
      <c r="D11" s="545">
        <f>SUM(D6:D8)</f>
        <v>184853627</v>
      </c>
      <c r="E11" s="545">
        <f>SUM(E6:E8)</f>
        <v>191113147</v>
      </c>
      <c r="F11" s="72"/>
      <c r="G11">
        <f>D6/$D$5</f>
        <v>0.8412392795517072</v>
      </c>
      <c r="H11" s="72">
        <f>E6/$E$5</f>
        <v>0.8223371885556361</v>
      </c>
    </row>
    <row r="12" spans="7:8" ht="12.75">
      <c r="G12">
        <f>D7/$D$5</f>
        <v>0.11043570164841829</v>
      </c>
      <c r="H12" s="72">
        <f>E7/$E$5</f>
        <v>0.13033059939094613</v>
      </c>
    </row>
    <row r="13" spans="7:8" ht="12.75">
      <c r="G13">
        <f>D8/$D$5</f>
        <v>0.04832501879987456</v>
      </c>
      <c r="H13" s="72">
        <f>E8/$E$5</f>
        <v>0.04733221205341776</v>
      </c>
    </row>
    <row r="18" ht="12.75">
      <c r="E18" s="853"/>
    </row>
  </sheetData>
  <sheetProtection/>
  <mergeCells count="4">
    <mergeCell ref="G2:H2"/>
    <mergeCell ref="D2:F2"/>
    <mergeCell ref="B2:C3"/>
    <mergeCell ref="B4:C5"/>
  </mergeCells>
  <printOptions/>
  <pageMargins left="0.7" right="0.7" top="0.75" bottom="0.75" header="0.3" footer="0.3"/>
  <pageSetup orientation="portrait" paperSize="9" r:id="rId1"/>
</worksheet>
</file>

<file path=xl/worksheets/sheet33.xml><?xml version="1.0" encoding="utf-8"?>
<worksheet xmlns="http://schemas.openxmlformats.org/spreadsheetml/2006/main" xmlns:r="http://schemas.openxmlformats.org/officeDocument/2006/relationships">
  <sheetPr codeName="Sheet33">
    <tabColor rgb="FFFF0000"/>
  </sheetPr>
  <dimension ref="A1:U67"/>
  <sheetViews>
    <sheetView showGridLines="0" zoomScalePageLayoutView="0" workbookViewId="0" topLeftCell="A1">
      <selection activeCell="A1" sqref="A1"/>
    </sheetView>
  </sheetViews>
  <sheetFormatPr defaultColWidth="9.00390625" defaultRowHeight="13.5"/>
  <cols>
    <col min="1" max="1" width="9.00390625" style="0" customWidth="1"/>
    <col min="2" max="2" width="0.74609375" style="0" customWidth="1"/>
    <col min="3" max="3" width="1.625" style="0" customWidth="1"/>
    <col min="4" max="4" width="1.37890625" style="0" customWidth="1"/>
    <col min="5" max="5" width="13.875" style="0" customWidth="1"/>
    <col min="6" max="20" width="5.375" style="0" customWidth="1"/>
  </cols>
  <sheetData>
    <row r="1" spans="1:21" ht="26.25" customHeight="1">
      <c r="A1" s="558"/>
      <c r="B1" s="558"/>
      <c r="C1" s="558"/>
      <c r="D1" s="558"/>
      <c r="E1" s="558"/>
      <c r="F1" s="558"/>
      <c r="G1" s="558"/>
      <c r="H1" s="558"/>
      <c r="I1" s="558"/>
      <c r="J1" s="558"/>
      <c r="K1" s="558"/>
      <c r="L1" s="558"/>
      <c r="M1" s="558"/>
      <c r="N1" s="558"/>
      <c r="O1" s="558"/>
      <c r="P1" s="558"/>
      <c r="Q1" s="558"/>
      <c r="R1" s="558"/>
      <c r="S1" s="558"/>
      <c r="T1" s="558"/>
      <c r="U1" s="558"/>
    </row>
    <row r="2" spans="1:21" ht="13.5" thickBot="1">
      <c r="A2" s="558"/>
      <c r="B2" s="872"/>
      <c r="C2" s="872"/>
      <c r="D2" s="872"/>
      <c r="E2" s="872"/>
      <c r="F2" s="878"/>
      <c r="G2" s="878"/>
      <c r="H2" s="878"/>
      <c r="I2" s="878"/>
      <c r="J2" s="878"/>
      <c r="K2" s="878"/>
      <c r="L2" s="878"/>
      <c r="M2" s="878"/>
      <c r="N2" s="878"/>
      <c r="O2" s="878"/>
      <c r="P2" s="878"/>
      <c r="Q2" s="878"/>
      <c r="R2" s="878"/>
      <c r="S2" s="878"/>
      <c r="T2" s="558"/>
      <c r="U2" s="558"/>
    </row>
    <row r="3" spans="1:21" ht="13.5" thickTop="1">
      <c r="A3" s="872"/>
      <c r="B3" s="1352" t="s">
        <v>535</v>
      </c>
      <c r="C3" s="1353"/>
      <c r="D3" s="1353"/>
      <c r="E3" s="1354"/>
      <c r="F3" s="1346" t="s">
        <v>499</v>
      </c>
      <c r="G3" s="1359" t="s">
        <v>529</v>
      </c>
      <c r="H3" s="1360"/>
      <c r="I3" s="1360"/>
      <c r="J3" s="1360"/>
      <c r="K3" s="1360"/>
      <c r="L3" s="1360"/>
      <c r="M3" s="1360"/>
      <c r="N3" s="1360"/>
      <c r="O3" s="1360"/>
      <c r="P3" s="1360"/>
      <c r="Q3" s="1361"/>
      <c r="R3" s="1388" t="s">
        <v>512</v>
      </c>
      <c r="S3" s="1385" t="s">
        <v>513</v>
      </c>
      <c r="T3" s="872"/>
      <c r="U3" s="558"/>
    </row>
    <row r="4" spans="1:21" ht="9" customHeight="1">
      <c r="A4" s="872"/>
      <c r="B4" s="1355"/>
      <c r="C4" s="1355"/>
      <c r="D4" s="1355"/>
      <c r="E4" s="1356"/>
      <c r="F4" s="1346"/>
      <c r="G4" s="1362" t="s">
        <v>501</v>
      </c>
      <c r="H4" s="1362" t="s">
        <v>428</v>
      </c>
      <c r="I4" s="1362" t="s">
        <v>429</v>
      </c>
      <c r="J4" s="1362" t="s">
        <v>430</v>
      </c>
      <c r="K4" s="1345" t="s">
        <v>533</v>
      </c>
      <c r="L4" s="1374" t="s">
        <v>432</v>
      </c>
      <c r="M4" s="1375"/>
      <c r="N4" s="1376"/>
      <c r="O4" s="1382" t="s">
        <v>436</v>
      </c>
      <c r="P4" s="1345" t="s">
        <v>437</v>
      </c>
      <c r="Q4" s="1345" t="s">
        <v>450</v>
      </c>
      <c r="R4" s="1389"/>
      <c r="S4" s="1386"/>
      <c r="T4" s="872"/>
      <c r="U4" s="871" t="s">
        <v>522</v>
      </c>
    </row>
    <row r="5" spans="1:21" ht="1.5" customHeight="1">
      <c r="A5" s="872"/>
      <c r="B5" s="1355"/>
      <c r="C5" s="1355"/>
      <c r="D5" s="1355"/>
      <c r="E5" s="1356"/>
      <c r="F5" s="1346"/>
      <c r="G5" s="1346"/>
      <c r="H5" s="1346"/>
      <c r="I5" s="1346"/>
      <c r="J5" s="1346"/>
      <c r="K5" s="1380"/>
      <c r="L5" s="1377"/>
      <c r="M5" s="1378"/>
      <c r="N5" s="1379"/>
      <c r="O5" s="1383"/>
      <c r="P5" s="1346"/>
      <c r="Q5" s="1346"/>
      <c r="R5" s="1389"/>
      <c r="S5" s="1386"/>
      <c r="T5" s="872"/>
      <c r="U5" s="558"/>
    </row>
    <row r="6" spans="1:21" ht="15.75" customHeight="1">
      <c r="A6" s="872"/>
      <c r="B6" s="1357"/>
      <c r="C6" s="1357"/>
      <c r="D6" s="1357"/>
      <c r="E6" s="1358"/>
      <c r="F6" s="1347"/>
      <c r="G6" s="1347"/>
      <c r="H6" s="1347"/>
      <c r="I6" s="1347"/>
      <c r="J6" s="1347"/>
      <c r="K6" s="1381"/>
      <c r="L6" s="601" t="s">
        <v>530</v>
      </c>
      <c r="M6" s="601" t="s">
        <v>531</v>
      </c>
      <c r="N6" s="601" t="s">
        <v>532</v>
      </c>
      <c r="O6" s="1384"/>
      <c r="P6" s="1347"/>
      <c r="Q6" s="1347"/>
      <c r="R6" s="1390"/>
      <c r="S6" s="1387"/>
      <c r="T6" s="872"/>
      <c r="U6" s="558"/>
    </row>
    <row r="7" spans="1:21" s="680" customFormat="1" ht="9">
      <c r="A7" s="889"/>
      <c r="B7" s="1363" t="s">
        <v>534</v>
      </c>
      <c r="C7" s="1363"/>
      <c r="D7" s="1363"/>
      <c r="E7" s="1364"/>
      <c r="F7" s="678" t="s">
        <v>418</v>
      </c>
      <c r="G7" s="678" t="s">
        <v>418</v>
      </c>
      <c r="H7" s="678" t="s">
        <v>418</v>
      </c>
      <c r="I7" s="678" t="s">
        <v>418</v>
      </c>
      <c r="J7" s="678" t="s">
        <v>418</v>
      </c>
      <c r="K7" s="678" t="s">
        <v>418</v>
      </c>
      <c r="L7" s="678" t="s">
        <v>418</v>
      </c>
      <c r="M7" s="678" t="s">
        <v>418</v>
      </c>
      <c r="N7" s="678" t="s">
        <v>418</v>
      </c>
      <c r="O7" s="678" t="s">
        <v>418</v>
      </c>
      <c r="P7" s="678" t="s">
        <v>418</v>
      </c>
      <c r="Q7" s="678" t="s">
        <v>418</v>
      </c>
      <c r="R7" s="678" t="s">
        <v>418</v>
      </c>
      <c r="S7" s="679" t="s">
        <v>418</v>
      </c>
      <c r="T7" s="889"/>
      <c r="U7" s="890"/>
    </row>
    <row r="8" spans="1:21" ht="14.25" customHeight="1">
      <c r="A8" s="872"/>
      <c r="B8" s="1365"/>
      <c r="C8" s="1365"/>
      <c r="D8" s="1365"/>
      <c r="E8" s="1366"/>
      <c r="F8" s="672">
        <f>F33</f>
        <v>100</v>
      </c>
      <c r="G8" s="859">
        <f aca="true" t="shared" si="0" ref="G8:S8">G33</f>
        <v>100</v>
      </c>
      <c r="H8" s="859">
        <f t="shared" si="0"/>
        <v>100</v>
      </c>
      <c r="I8" s="859">
        <f t="shared" si="0"/>
        <v>100</v>
      </c>
      <c r="J8" s="859">
        <f t="shared" si="0"/>
        <v>100</v>
      </c>
      <c r="K8" s="859">
        <f t="shared" si="0"/>
        <v>100</v>
      </c>
      <c r="L8" s="859">
        <f t="shared" si="0"/>
        <v>100</v>
      </c>
      <c r="M8" s="859">
        <f t="shared" si="0"/>
        <v>100</v>
      </c>
      <c r="N8" s="859">
        <f t="shared" si="0"/>
        <v>100</v>
      </c>
      <c r="O8" s="859">
        <f t="shared" si="0"/>
        <v>100</v>
      </c>
      <c r="P8" s="859">
        <f t="shared" si="0"/>
        <v>100</v>
      </c>
      <c r="Q8" s="859">
        <f t="shared" si="0"/>
        <v>100</v>
      </c>
      <c r="R8" s="859">
        <f t="shared" si="0"/>
        <v>100</v>
      </c>
      <c r="S8" s="860">
        <f t="shared" si="0"/>
        <v>100</v>
      </c>
      <c r="T8" s="872"/>
      <c r="U8" s="558"/>
    </row>
    <row r="9" spans="1:21" ht="14.25" customHeight="1">
      <c r="A9" s="872"/>
      <c r="B9" s="681"/>
      <c r="C9" s="674" t="s">
        <v>557</v>
      </c>
      <c r="D9" s="675"/>
      <c r="E9" s="675"/>
      <c r="F9" s="861">
        <f>F34</f>
        <v>84.1</v>
      </c>
      <c r="G9" s="861">
        <f aca="true" t="shared" si="1" ref="G9:S9">G34</f>
        <v>84.2</v>
      </c>
      <c r="H9" s="861">
        <f t="shared" si="1"/>
        <v>88.8</v>
      </c>
      <c r="I9" s="861">
        <f t="shared" si="1"/>
        <v>82</v>
      </c>
      <c r="J9" s="861">
        <f t="shared" si="1"/>
        <v>81.1</v>
      </c>
      <c r="K9" s="861">
        <f t="shared" si="1"/>
        <v>95.6</v>
      </c>
      <c r="L9" s="861">
        <f t="shared" si="1"/>
        <v>87.6</v>
      </c>
      <c r="M9" s="861">
        <f t="shared" si="1"/>
        <v>99.9</v>
      </c>
      <c r="N9" s="861">
        <f t="shared" si="1"/>
        <v>100</v>
      </c>
      <c r="O9" s="861">
        <f t="shared" si="1"/>
        <v>97.9</v>
      </c>
      <c r="P9" s="861">
        <f t="shared" si="1"/>
        <v>87.6</v>
      </c>
      <c r="Q9" s="861">
        <f t="shared" si="1"/>
        <v>81</v>
      </c>
      <c r="R9" s="861">
        <f t="shared" si="1"/>
        <v>74.1</v>
      </c>
      <c r="S9" s="862">
        <f t="shared" si="1"/>
        <v>98.3</v>
      </c>
      <c r="T9" s="872"/>
      <c r="U9" s="558"/>
    </row>
    <row r="10" spans="1:21" ht="14.25" customHeight="1">
      <c r="A10" s="872"/>
      <c r="B10" s="657"/>
      <c r="C10" s="683"/>
      <c r="D10" s="676" t="s">
        <v>459</v>
      </c>
      <c r="E10" s="676"/>
      <c r="F10" s="863"/>
      <c r="G10" s="864">
        <f aca="true" t="shared" si="2" ref="G10:S10">G35</f>
        <v>70.4</v>
      </c>
      <c r="H10" s="864">
        <f t="shared" si="2"/>
        <v>76.6</v>
      </c>
      <c r="I10" s="864">
        <f t="shared" si="2"/>
        <v>67.8</v>
      </c>
      <c r="J10" s="864">
        <f t="shared" si="2"/>
        <v>68.2</v>
      </c>
      <c r="K10" s="864">
        <f t="shared" si="2"/>
        <v>89</v>
      </c>
      <c r="L10" s="864">
        <f t="shared" si="2"/>
        <v>70.9</v>
      </c>
      <c r="M10" s="864">
        <f t="shared" si="2"/>
        <v>96.3</v>
      </c>
      <c r="N10" s="864">
        <f t="shared" si="2"/>
        <v>93.1</v>
      </c>
      <c r="O10" s="864">
        <f t="shared" si="2"/>
        <v>85.89999999999999</v>
      </c>
      <c r="P10" s="864">
        <f t="shared" si="2"/>
        <v>68.5</v>
      </c>
      <c r="Q10" s="864">
        <f t="shared" si="2"/>
        <v>70.7</v>
      </c>
      <c r="R10" s="864">
        <f t="shared" si="2"/>
        <v>24.8</v>
      </c>
      <c r="S10" s="865">
        <f t="shared" si="2"/>
        <v>0</v>
      </c>
      <c r="T10" s="872"/>
      <c r="U10" s="558"/>
    </row>
    <row r="11" spans="1:21" ht="14.25" customHeight="1">
      <c r="A11" s="872"/>
      <c r="B11" s="658"/>
      <c r="C11" s="691"/>
      <c r="D11" s="683"/>
      <c r="E11" s="676" t="s">
        <v>504</v>
      </c>
      <c r="F11" s="863"/>
      <c r="G11" s="864">
        <f aca="true" t="shared" si="3" ref="G11:S11">G36</f>
        <v>45.9</v>
      </c>
      <c r="H11" s="864">
        <f t="shared" si="3"/>
        <v>50.1</v>
      </c>
      <c r="I11" s="864">
        <f t="shared" si="3"/>
        <v>44.4</v>
      </c>
      <c r="J11" s="864">
        <f t="shared" si="3"/>
        <v>44.7</v>
      </c>
      <c r="K11" s="864">
        <f t="shared" si="3"/>
        <v>53.1</v>
      </c>
      <c r="L11" s="864">
        <f t="shared" si="3"/>
        <v>46.3</v>
      </c>
      <c r="M11" s="864">
        <f t="shared" si="3"/>
        <v>96.3</v>
      </c>
      <c r="N11" s="864">
        <f t="shared" si="3"/>
        <v>63.4</v>
      </c>
      <c r="O11" s="864">
        <f t="shared" si="3"/>
        <v>56.9</v>
      </c>
      <c r="P11" s="864">
        <f t="shared" si="3"/>
        <v>38.7</v>
      </c>
      <c r="Q11" s="864">
        <f t="shared" si="3"/>
        <v>38.2</v>
      </c>
      <c r="R11" s="864">
        <f t="shared" si="3"/>
        <v>0</v>
      </c>
      <c r="S11" s="865">
        <f t="shared" si="3"/>
        <v>0</v>
      </c>
      <c r="T11" s="872"/>
      <c r="U11" s="558"/>
    </row>
    <row r="12" spans="1:21" ht="14.25" customHeight="1">
      <c r="A12" s="872"/>
      <c r="B12" s="658"/>
      <c r="C12" s="691"/>
      <c r="D12" s="673"/>
      <c r="E12" s="676" t="s">
        <v>505</v>
      </c>
      <c r="F12" s="863"/>
      <c r="G12" s="864">
        <f aca="true" t="shared" si="4" ref="G12:S12">G37</f>
        <v>24.5</v>
      </c>
      <c r="H12" s="864">
        <f t="shared" si="4"/>
        <v>26.5</v>
      </c>
      <c r="I12" s="864">
        <f t="shared" si="4"/>
        <v>23.4</v>
      </c>
      <c r="J12" s="864">
        <f t="shared" si="4"/>
        <v>23.5</v>
      </c>
      <c r="K12" s="864">
        <f t="shared" si="4"/>
        <v>35.9</v>
      </c>
      <c r="L12" s="864">
        <f t="shared" si="4"/>
        <v>24.6</v>
      </c>
      <c r="M12" s="864">
        <f t="shared" si="4"/>
        <v>0</v>
      </c>
      <c r="N12" s="864">
        <f t="shared" si="4"/>
        <v>29.7</v>
      </c>
      <c r="O12" s="864">
        <f t="shared" si="4"/>
        <v>29</v>
      </c>
      <c r="P12" s="864">
        <f t="shared" si="4"/>
        <v>29.8</v>
      </c>
      <c r="Q12" s="864">
        <f t="shared" si="4"/>
        <v>32.5</v>
      </c>
      <c r="R12" s="864">
        <f t="shared" si="4"/>
        <v>0</v>
      </c>
      <c r="S12" s="865">
        <f t="shared" si="4"/>
        <v>0</v>
      </c>
      <c r="T12" s="872"/>
      <c r="U12" s="558"/>
    </row>
    <row r="13" spans="1:21" ht="14.25" customHeight="1">
      <c r="A13" s="872"/>
      <c r="B13" s="658"/>
      <c r="C13" s="691"/>
      <c r="D13" s="676" t="s">
        <v>460</v>
      </c>
      <c r="E13" s="676"/>
      <c r="F13" s="863"/>
      <c r="G13" s="864">
        <f aca="true" t="shared" si="5" ref="G13:S13">G38</f>
        <v>2.3</v>
      </c>
      <c r="H13" s="864">
        <f t="shared" si="5"/>
        <v>1.3</v>
      </c>
      <c r="I13" s="864">
        <f t="shared" si="5"/>
        <v>2.6</v>
      </c>
      <c r="J13" s="864">
        <f t="shared" si="5"/>
        <v>2.4</v>
      </c>
      <c r="K13" s="864">
        <f t="shared" si="5"/>
        <v>1.2</v>
      </c>
      <c r="L13" s="864">
        <f t="shared" si="5"/>
        <v>2</v>
      </c>
      <c r="M13" s="864">
        <f t="shared" si="5"/>
        <v>0.4</v>
      </c>
      <c r="N13" s="864">
        <f t="shared" si="5"/>
        <v>1.7</v>
      </c>
      <c r="O13" s="864">
        <f t="shared" si="5"/>
        <v>1.5</v>
      </c>
      <c r="P13" s="864">
        <f t="shared" si="5"/>
        <v>5.5</v>
      </c>
      <c r="Q13" s="864">
        <f t="shared" si="5"/>
        <v>2.1</v>
      </c>
      <c r="R13" s="864">
        <f t="shared" si="5"/>
        <v>0</v>
      </c>
      <c r="S13" s="865">
        <f t="shared" si="5"/>
        <v>0</v>
      </c>
      <c r="T13" s="872"/>
      <c r="U13" s="558"/>
    </row>
    <row r="14" spans="1:21" ht="14.25" customHeight="1">
      <c r="A14" s="872"/>
      <c r="B14" s="658"/>
      <c r="C14" s="691"/>
      <c r="D14" s="676" t="s">
        <v>461</v>
      </c>
      <c r="E14" s="676"/>
      <c r="F14" s="863"/>
      <c r="G14" s="864">
        <f aca="true" t="shared" si="6" ref="G14:S14">G39</f>
        <v>5.4</v>
      </c>
      <c r="H14" s="864">
        <f t="shared" si="6"/>
        <v>6.6</v>
      </c>
      <c r="I14" s="864">
        <f t="shared" si="6"/>
        <v>6</v>
      </c>
      <c r="J14" s="864">
        <f t="shared" si="6"/>
        <v>5.3</v>
      </c>
      <c r="K14" s="864">
        <f t="shared" si="6"/>
        <v>2.8</v>
      </c>
      <c r="L14" s="864">
        <f t="shared" si="6"/>
        <v>5</v>
      </c>
      <c r="M14" s="864">
        <f t="shared" si="6"/>
        <v>0.4</v>
      </c>
      <c r="N14" s="864">
        <f t="shared" si="6"/>
        <v>0.2</v>
      </c>
      <c r="O14" s="864">
        <f t="shared" si="6"/>
        <v>3</v>
      </c>
      <c r="P14" s="864">
        <f t="shared" si="6"/>
        <v>13.4</v>
      </c>
      <c r="Q14" s="864">
        <f t="shared" si="6"/>
        <v>4.5</v>
      </c>
      <c r="R14" s="864">
        <f t="shared" si="6"/>
        <v>0</v>
      </c>
      <c r="S14" s="865">
        <f t="shared" si="6"/>
        <v>0</v>
      </c>
      <c r="T14" s="872"/>
      <c r="U14" s="558"/>
    </row>
    <row r="15" spans="1:21" ht="14.25" customHeight="1">
      <c r="A15" s="872"/>
      <c r="B15" s="658"/>
      <c r="C15" s="691"/>
      <c r="D15" s="676" t="s">
        <v>462</v>
      </c>
      <c r="E15" s="676"/>
      <c r="F15" s="863"/>
      <c r="G15" s="864">
        <f aca="true" t="shared" si="7" ref="G15:S15">G40</f>
        <v>5.8</v>
      </c>
      <c r="H15" s="864">
        <f t="shared" si="7"/>
        <v>3.6</v>
      </c>
      <c r="I15" s="864">
        <f t="shared" si="7"/>
        <v>5.2</v>
      </c>
      <c r="J15" s="864">
        <f t="shared" si="7"/>
        <v>4.8999999999999995</v>
      </c>
      <c r="K15" s="864">
        <f t="shared" si="7"/>
        <v>2.6</v>
      </c>
      <c r="L15" s="864">
        <f t="shared" si="7"/>
        <v>9.5</v>
      </c>
      <c r="M15" s="864">
        <f t="shared" si="7"/>
        <v>2.7</v>
      </c>
      <c r="N15" s="864">
        <f t="shared" si="7"/>
        <v>4.9</v>
      </c>
      <c r="O15" s="864">
        <f t="shared" si="7"/>
        <v>7.3</v>
      </c>
      <c r="P15" s="864">
        <f t="shared" si="7"/>
        <v>0</v>
      </c>
      <c r="Q15" s="864">
        <f t="shared" si="7"/>
        <v>3.5</v>
      </c>
      <c r="R15" s="864">
        <f t="shared" si="7"/>
        <v>0</v>
      </c>
      <c r="S15" s="865">
        <f t="shared" si="7"/>
        <v>0</v>
      </c>
      <c r="T15" s="872"/>
      <c r="U15" s="558"/>
    </row>
    <row r="16" spans="1:21" ht="14.25" customHeight="1">
      <c r="A16" s="872"/>
      <c r="B16" s="869"/>
      <c r="C16" s="673"/>
      <c r="D16" s="676" t="s">
        <v>463</v>
      </c>
      <c r="E16" s="676"/>
      <c r="F16" s="863"/>
      <c r="G16" s="864">
        <f aca="true" t="shared" si="8" ref="G16:S16">G41</f>
        <v>0.3</v>
      </c>
      <c r="H16" s="864">
        <f t="shared" si="8"/>
        <v>0.7</v>
      </c>
      <c r="I16" s="864">
        <f t="shared" si="8"/>
        <v>0.3</v>
      </c>
      <c r="J16" s="864">
        <f t="shared" si="8"/>
        <v>0.3</v>
      </c>
      <c r="K16" s="864">
        <f t="shared" si="8"/>
        <v>0</v>
      </c>
      <c r="L16" s="864">
        <f t="shared" si="8"/>
        <v>0.2</v>
      </c>
      <c r="M16" s="864">
        <f t="shared" si="8"/>
        <v>0.1</v>
      </c>
      <c r="N16" s="864">
        <f t="shared" si="8"/>
        <v>0.1</v>
      </c>
      <c r="O16" s="864">
        <f t="shared" si="8"/>
        <v>0.2</v>
      </c>
      <c r="P16" s="864">
        <f t="shared" si="8"/>
        <v>0.2</v>
      </c>
      <c r="Q16" s="864">
        <f t="shared" si="8"/>
        <v>0.2</v>
      </c>
      <c r="R16" s="864">
        <f t="shared" si="8"/>
        <v>0</v>
      </c>
      <c r="S16" s="865">
        <f t="shared" si="8"/>
        <v>0</v>
      </c>
      <c r="T16" s="872"/>
      <c r="U16" s="558"/>
    </row>
    <row r="17" spans="1:21" ht="14.25" customHeight="1">
      <c r="A17" s="872"/>
      <c r="B17" s="681"/>
      <c r="C17" s="674" t="s">
        <v>558</v>
      </c>
      <c r="D17" s="675"/>
      <c r="E17" s="675"/>
      <c r="F17" s="861">
        <f>F42</f>
        <v>11.1</v>
      </c>
      <c r="G17" s="861">
        <f aca="true" t="shared" si="9" ref="G17:S17">G42</f>
        <v>11</v>
      </c>
      <c r="H17" s="861">
        <f t="shared" si="9"/>
        <v>7.4</v>
      </c>
      <c r="I17" s="861">
        <f t="shared" si="9"/>
        <v>12.8</v>
      </c>
      <c r="J17" s="861">
        <f t="shared" si="9"/>
        <v>12.7</v>
      </c>
      <c r="K17" s="861">
        <f t="shared" si="9"/>
        <v>1.8</v>
      </c>
      <c r="L17" s="861">
        <f t="shared" si="9"/>
        <v>9</v>
      </c>
      <c r="M17" s="861">
        <f t="shared" si="9"/>
        <v>0.1</v>
      </c>
      <c r="N17" s="861">
        <f t="shared" si="9"/>
        <v>0</v>
      </c>
      <c r="O17" s="861">
        <f t="shared" si="9"/>
        <v>0.5</v>
      </c>
      <c r="P17" s="861">
        <f t="shared" si="9"/>
        <v>12.4</v>
      </c>
      <c r="Q17" s="861">
        <f t="shared" si="9"/>
        <v>18.9</v>
      </c>
      <c r="R17" s="861">
        <f t="shared" si="9"/>
        <v>17.7</v>
      </c>
      <c r="S17" s="862">
        <f t="shared" si="9"/>
        <v>1.5</v>
      </c>
      <c r="T17" s="872"/>
      <c r="U17" s="558"/>
    </row>
    <row r="18" spans="1:21" ht="14.25" customHeight="1">
      <c r="A18" s="872"/>
      <c r="B18" s="657"/>
      <c r="C18" s="683"/>
      <c r="D18" s="676" t="s">
        <v>507</v>
      </c>
      <c r="E18" s="676"/>
      <c r="F18" s="863"/>
      <c r="G18" s="864">
        <f aca="true" t="shared" si="10" ref="G18:S18">G43</f>
        <v>0</v>
      </c>
      <c r="H18" s="864">
        <f t="shared" si="10"/>
        <v>0</v>
      </c>
      <c r="I18" s="864">
        <f t="shared" si="10"/>
        <v>0</v>
      </c>
      <c r="J18" s="864">
        <f t="shared" si="10"/>
        <v>0</v>
      </c>
      <c r="K18" s="864">
        <f t="shared" si="10"/>
        <v>0</v>
      </c>
      <c r="L18" s="864">
        <f t="shared" si="10"/>
        <v>0</v>
      </c>
      <c r="M18" s="864">
        <f t="shared" si="10"/>
        <v>0</v>
      </c>
      <c r="N18" s="864">
        <f t="shared" si="10"/>
        <v>0</v>
      </c>
      <c r="O18" s="864">
        <f t="shared" si="10"/>
        <v>0</v>
      </c>
      <c r="P18" s="864">
        <f t="shared" si="10"/>
        <v>0</v>
      </c>
      <c r="Q18" s="864">
        <f t="shared" si="10"/>
        <v>0</v>
      </c>
      <c r="R18" s="864">
        <f t="shared" si="10"/>
        <v>0</v>
      </c>
      <c r="S18" s="865">
        <f t="shared" si="10"/>
        <v>0</v>
      </c>
      <c r="T18" s="872"/>
      <c r="U18" s="558"/>
    </row>
    <row r="19" spans="1:21" ht="14.25" customHeight="1">
      <c r="A19" s="872"/>
      <c r="B19" s="658"/>
      <c r="C19" s="691"/>
      <c r="D19" s="676" t="s">
        <v>508</v>
      </c>
      <c r="E19" s="676"/>
      <c r="F19" s="863"/>
      <c r="G19" s="864">
        <f aca="true" t="shared" si="11" ref="G19:S19">G44</f>
        <v>5.3</v>
      </c>
      <c r="H19" s="864">
        <f t="shared" si="11"/>
        <v>3.5</v>
      </c>
      <c r="I19" s="864">
        <f t="shared" si="11"/>
        <v>6</v>
      </c>
      <c r="J19" s="864">
        <f t="shared" si="11"/>
        <v>6.8</v>
      </c>
      <c r="K19" s="864">
        <f t="shared" si="11"/>
        <v>1.2</v>
      </c>
      <c r="L19" s="864">
        <f t="shared" si="11"/>
        <v>3.3</v>
      </c>
      <c r="M19" s="864">
        <f t="shared" si="11"/>
        <v>0.1</v>
      </c>
      <c r="N19" s="864">
        <f t="shared" si="11"/>
        <v>0</v>
      </c>
      <c r="O19" s="864">
        <f t="shared" si="11"/>
        <v>0.3</v>
      </c>
      <c r="P19" s="864">
        <f t="shared" si="11"/>
        <v>0</v>
      </c>
      <c r="Q19" s="864">
        <f t="shared" si="11"/>
        <v>18.4</v>
      </c>
      <c r="R19" s="864">
        <f t="shared" si="11"/>
        <v>0</v>
      </c>
      <c r="S19" s="865">
        <f t="shared" si="11"/>
        <v>0</v>
      </c>
      <c r="T19" s="872"/>
      <c r="U19" s="558"/>
    </row>
    <row r="20" spans="1:21" ht="14.25" customHeight="1">
      <c r="A20" s="872"/>
      <c r="B20" s="658"/>
      <c r="C20" s="691"/>
      <c r="D20" s="676" t="s">
        <v>509</v>
      </c>
      <c r="E20" s="676"/>
      <c r="F20" s="863"/>
      <c r="G20" s="864">
        <f aca="true" t="shared" si="12" ref="G20:S20">G45</f>
        <v>5.6000000000000005</v>
      </c>
      <c r="H20" s="864">
        <f t="shared" si="12"/>
        <v>3.9</v>
      </c>
      <c r="I20" s="864">
        <f t="shared" si="12"/>
        <v>6.7</v>
      </c>
      <c r="J20" s="864">
        <f t="shared" si="12"/>
        <v>5.8</v>
      </c>
      <c r="K20" s="864">
        <f t="shared" si="12"/>
        <v>0.6</v>
      </c>
      <c r="L20" s="864">
        <f t="shared" si="12"/>
        <v>5.7</v>
      </c>
      <c r="M20" s="864">
        <f t="shared" si="12"/>
        <v>0</v>
      </c>
      <c r="N20" s="864">
        <f t="shared" si="12"/>
        <v>0</v>
      </c>
      <c r="O20" s="864">
        <f t="shared" si="12"/>
        <v>0.2</v>
      </c>
      <c r="P20" s="864">
        <f t="shared" si="12"/>
        <v>12.4</v>
      </c>
      <c r="Q20" s="864">
        <f t="shared" si="12"/>
        <v>0.5</v>
      </c>
      <c r="R20" s="864">
        <f t="shared" si="12"/>
        <v>0</v>
      </c>
      <c r="S20" s="865">
        <f t="shared" si="12"/>
        <v>0</v>
      </c>
      <c r="T20" s="872"/>
      <c r="U20" s="558"/>
    </row>
    <row r="21" spans="1:21" ht="14.25" customHeight="1">
      <c r="A21" s="872"/>
      <c r="B21" s="869"/>
      <c r="C21" s="673"/>
      <c r="D21" s="676" t="s">
        <v>510</v>
      </c>
      <c r="E21" s="676"/>
      <c r="F21" s="863"/>
      <c r="G21" s="864">
        <f aca="true" t="shared" si="13" ref="G21:S21">G46</f>
        <v>0.1</v>
      </c>
      <c r="H21" s="864">
        <f t="shared" si="13"/>
        <v>0</v>
      </c>
      <c r="I21" s="864">
        <f t="shared" si="13"/>
        <v>0.1</v>
      </c>
      <c r="J21" s="864">
        <f t="shared" si="13"/>
        <v>0.1</v>
      </c>
      <c r="K21" s="864">
        <f t="shared" si="13"/>
        <v>0</v>
      </c>
      <c r="L21" s="864">
        <f t="shared" si="13"/>
        <v>0</v>
      </c>
      <c r="M21" s="864">
        <f t="shared" si="13"/>
        <v>0</v>
      </c>
      <c r="N21" s="864">
        <f t="shared" si="13"/>
        <v>0</v>
      </c>
      <c r="O21" s="864">
        <f t="shared" si="13"/>
        <v>0</v>
      </c>
      <c r="P21" s="864">
        <f t="shared" si="13"/>
        <v>0</v>
      </c>
      <c r="Q21" s="864">
        <f t="shared" si="13"/>
        <v>0</v>
      </c>
      <c r="R21" s="864">
        <f t="shared" si="13"/>
        <v>0</v>
      </c>
      <c r="S21" s="865">
        <f t="shared" si="13"/>
        <v>0</v>
      </c>
      <c r="T21" s="872"/>
      <c r="U21" s="558"/>
    </row>
    <row r="22" spans="1:21" ht="14.25" customHeight="1" thickBot="1">
      <c r="A22" s="872"/>
      <c r="B22" s="870"/>
      <c r="C22" s="789" t="s">
        <v>559</v>
      </c>
      <c r="D22" s="705"/>
      <c r="E22" s="705"/>
      <c r="F22" s="866">
        <f>F47</f>
        <v>4.8</v>
      </c>
      <c r="G22" s="866">
        <f aca="true" t="shared" si="14" ref="G22:S22">G47</f>
        <v>4.8</v>
      </c>
      <c r="H22" s="866">
        <f t="shared" si="14"/>
        <v>3.8</v>
      </c>
      <c r="I22" s="866">
        <f t="shared" si="14"/>
        <v>5.2</v>
      </c>
      <c r="J22" s="866">
        <f t="shared" si="14"/>
        <v>6.2</v>
      </c>
      <c r="K22" s="866">
        <f t="shared" si="14"/>
        <v>2.6</v>
      </c>
      <c r="L22" s="866">
        <f t="shared" si="14"/>
        <v>3.4</v>
      </c>
      <c r="M22" s="866">
        <f t="shared" si="14"/>
        <v>0</v>
      </c>
      <c r="N22" s="866">
        <f t="shared" si="14"/>
        <v>0</v>
      </c>
      <c r="O22" s="866">
        <f t="shared" si="14"/>
        <v>1.6</v>
      </c>
      <c r="P22" s="866">
        <f t="shared" si="14"/>
        <v>0</v>
      </c>
      <c r="Q22" s="866">
        <f t="shared" si="14"/>
        <v>0.1</v>
      </c>
      <c r="R22" s="866">
        <f t="shared" si="14"/>
        <v>8.200000000000001</v>
      </c>
      <c r="S22" s="867">
        <f t="shared" si="14"/>
        <v>0.2</v>
      </c>
      <c r="T22" s="872"/>
      <c r="U22" s="558"/>
    </row>
    <row r="23" spans="1:21" ht="13.5" thickTop="1">
      <c r="A23" s="558"/>
      <c r="B23" s="558"/>
      <c r="C23" s="558"/>
      <c r="D23" s="558"/>
      <c r="E23" s="558"/>
      <c r="F23" s="558"/>
      <c r="G23" s="558"/>
      <c r="H23" s="558"/>
      <c r="I23" s="558"/>
      <c r="J23" s="558"/>
      <c r="K23" s="558"/>
      <c r="L23" s="558"/>
      <c r="M23" s="558"/>
      <c r="N23" s="558"/>
      <c r="O23" s="558"/>
      <c r="P23" s="558"/>
      <c r="Q23" s="558"/>
      <c r="R23" s="558"/>
      <c r="S23" s="558"/>
      <c r="T23" s="558"/>
      <c r="U23" s="558"/>
    </row>
    <row r="24" spans="1:21" ht="12.75">
      <c r="A24" s="558"/>
      <c r="B24" s="558"/>
      <c r="C24" s="558"/>
      <c r="D24" s="558"/>
      <c r="E24" s="558"/>
      <c r="F24" s="558"/>
      <c r="G24" s="558"/>
      <c r="H24" s="558"/>
      <c r="I24" s="558"/>
      <c r="J24" s="558"/>
      <c r="K24" s="558"/>
      <c r="L24" s="558"/>
      <c r="M24" s="558"/>
      <c r="N24" s="558"/>
      <c r="O24" s="558"/>
      <c r="P24" s="558"/>
      <c r="Q24" s="558"/>
      <c r="R24" s="558"/>
      <c r="S24" s="558"/>
      <c r="T24" s="558"/>
      <c r="U24" s="558"/>
    </row>
    <row r="25" spans="1:21" ht="12.75">
      <c r="A25" s="558"/>
      <c r="B25" s="558"/>
      <c r="C25" s="558"/>
      <c r="D25" s="558"/>
      <c r="E25" s="558"/>
      <c r="F25" s="558"/>
      <c r="G25" s="558"/>
      <c r="H25" s="558"/>
      <c r="I25" s="558"/>
      <c r="J25" s="558"/>
      <c r="K25" s="558"/>
      <c r="L25" s="558"/>
      <c r="M25" s="558"/>
      <c r="N25" s="558"/>
      <c r="O25" s="558"/>
      <c r="P25" s="558"/>
      <c r="Q25" s="558"/>
      <c r="R25" s="558"/>
      <c r="S25" s="558"/>
      <c r="T25" s="558"/>
      <c r="U25" s="558"/>
    </row>
    <row r="26" spans="1:21" ht="12.75">
      <c r="A26" s="558"/>
      <c r="B26" s="558"/>
      <c r="C26" s="558"/>
      <c r="D26" s="558"/>
      <c r="E26" s="558"/>
      <c r="F26" s="558"/>
      <c r="G26" s="558"/>
      <c r="H26" s="558"/>
      <c r="I26" s="558"/>
      <c r="J26" s="558"/>
      <c r="K26" s="558"/>
      <c r="L26" s="558"/>
      <c r="M26" s="558"/>
      <c r="N26" s="558"/>
      <c r="O26" s="558"/>
      <c r="P26" s="558"/>
      <c r="Q26" s="558"/>
      <c r="R26" s="558"/>
      <c r="S26" s="558"/>
      <c r="T26" s="558"/>
      <c r="U26" s="558"/>
    </row>
    <row r="28" spans="2:19" ht="12.75">
      <c r="B28" s="1367" t="s">
        <v>520</v>
      </c>
      <c r="C28" s="1368"/>
      <c r="D28" s="1368"/>
      <c r="E28" s="1369"/>
      <c r="F28" s="1351" t="s">
        <v>499</v>
      </c>
      <c r="G28" s="1348" t="s">
        <v>500</v>
      </c>
      <c r="H28" s="1349"/>
      <c r="I28" s="1349"/>
      <c r="J28" s="1349"/>
      <c r="K28" s="1349"/>
      <c r="L28" s="1349"/>
      <c r="M28" s="1349"/>
      <c r="N28" s="1349"/>
      <c r="O28" s="1349"/>
      <c r="P28" s="1349"/>
      <c r="Q28" s="1350"/>
      <c r="R28" s="1339" t="s">
        <v>512</v>
      </c>
      <c r="S28" s="1342" t="s">
        <v>513</v>
      </c>
    </row>
    <row r="29" spans="2:19" ht="12.75">
      <c r="B29" s="1370"/>
      <c r="C29" s="1370"/>
      <c r="D29" s="1370"/>
      <c r="E29" s="1371"/>
      <c r="F29" s="1340"/>
      <c r="G29" s="1351" t="s">
        <v>501</v>
      </c>
      <c r="H29" s="1351" t="s">
        <v>428</v>
      </c>
      <c r="I29" s="1351" t="s">
        <v>429</v>
      </c>
      <c r="J29" s="1351" t="s">
        <v>430</v>
      </c>
      <c r="K29" s="1339" t="s">
        <v>519</v>
      </c>
      <c r="L29" s="1339" t="s">
        <v>518</v>
      </c>
      <c r="M29" s="1339" t="s">
        <v>517</v>
      </c>
      <c r="N29" s="1339" t="s">
        <v>516</v>
      </c>
      <c r="O29" s="1339" t="s">
        <v>515</v>
      </c>
      <c r="P29" s="1351" t="s">
        <v>437</v>
      </c>
      <c r="Q29" s="1345" t="s">
        <v>514</v>
      </c>
      <c r="R29" s="1340"/>
      <c r="S29" s="1343"/>
    </row>
    <row r="30" spans="2:21" ht="12.75">
      <c r="B30" s="1370"/>
      <c r="C30" s="1370"/>
      <c r="D30" s="1370"/>
      <c r="E30" s="1371"/>
      <c r="F30" s="1340"/>
      <c r="G30" s="1340"/>
      <c r="H30" s="1340"/>
      <c r="I30" s="1340"/>
      <c r="J30" s="1340"/>
      <c r="K30" s="1340"/>
      <c r="L30" s="1340"/>
      <c r="M30" s="1340"/>
      <c r="N30" s="1340"/>
      <c r="O30" s="1340"/>
      <c r="P30" s="1340"/>
      <c r="Q30" s="1346"/>
      <c r="R30" s="1340"/>
      <c r="S30" s="1343"/>
      <c r="U30" s="517" t="s">
        <v>521</v>
      </c>
    </row>
    <row r="31" spans="2:21" ht="12.75">
      <c r="B31" s="1372"/>
      <c r="C31" s="1372"/>
      <c r="D31" s="1372"/>
      <c r="E31" s="1373"/>
      <c r="F31" s="1341"/>
      <c r="G31" s="1341"/>
      <c r="H31" s="1341"/>
      <c r="I31" s="1341"/>
      <c r="J31" s="1341"/>
      <c r="K31" s="1341"/>
      <c r="L31" s="1341"/>
      <c r="M31" s="1341"/>
      <c r="N31" s="1341"/>
      <c r="O31" s="1341"/>
      <c r="P31" s="1341"/>
      <c r="Q31" s="1347"/>
      <c r="R31" s="1341"/>
      <c r="S31" s="1344"/>
      <c r="U31" s="507" t="s">
        <v>560</v>
      </c>
    </row>
    <row r="32" spans="2:19" ht="12.75">
      <c r="B32" s="576"/>
      <c r="C32" s="578"/>
      <c r="D32" s="578"/>
      <c r="E32" s="579"/>
      <c r="F32" s="591" t="s">
        <v>418</v>
      </c>
      <c r="G32" s="591" t="s">
        <v>418</v>
      </c>
      <c r="H32" s="591" t="s">
        <v>418</v>
      </c>
      <c r="I32" s="591" t="s">
        <v>418</v>
      </c>
      <c r="J32" s="591" t="s">
        <v>418</v>
      </c>
      <c r="K32" s="591" t="s">
        <v>418</v>
      </c>
      <c r="L32" s="591" t="s">
        <v>418</v>
      </c>
      <c r="M32" s="591" t="s">
        <v>418</v>
      </c>
      <c r="N32" s="591" t="s">
        <v>418</v>
      </c>
      <c r="O32" s="591" t="s">
        <v>418</v>
      </c>
      <c r="P32" s="591" t="s">
        <v>418</v>
      </c>
      <c r="Q32" s="591" t="s">
        <v>418</v>
      </c>
      <c r="R32" s="591" t="s">
        <v>418</v>
      </c>
      <c r="S32" s="592" t="s">
        <v>418</v>
      </c>
    </row>
    <row r="33" spans="2:19" ht="12.75">
      <c r="B33" s="557" t="s">
        <v>502</v>
      </c>
      <c r="C33" s="562"/>
      <c r="D33" s="562"/>
      <c r="E33" s="562"/>
      <c r="F33" s="672">
        <f>ROUND('表５'!E14/'表５'!$E$14*100,1)</f>
        <v>100</v>
      </c>
      <c r="G33" s="672">
        <f>ROUND('表５'!F14/'表５'!$F$14*100,1)</f>
        <v>100</v>
      </c>
      <c r="H33" s="672">
        <f>ROUND('表５'!G14/'表５'!$G$14*100,1)</f>
        <v>100</v>
      </c>
      <c r="I33" s="672">
        <f>ROUND('表５'!H14/'表５'!$H$14*100,1)</f>
        <v>100</v>
      </c>
      <c r="J33" s="672">
        <f>ROUND('表５'!I14/'表５'!$I$14*100,1)</f>
        <v>100</v>
      </c>
      <c r="K33" s="672">
        <f>ROUND('表５'!J14/'表５'!$J$14*100,1)</f>
        <v>100</v>
      </c>
      <c r="L33" s="672">
        <f>ROUND('表５'!K14/'表５'!$K$14*100,1)</f>
        <v>100</v>
      </c>
      <c r="M33" s="672">
        <f>ROUND('表５'!L14/'表５'!$L$14*100,1)</f>
        <v>100</v>
      </c>
      <c r="N33" s="672">
        <f>ROUND('表５'!M14/'表５'!$M$14*100,1)</f>
        <v>100</v>
      </c>
      <c r="O33" s="672">
        <f>ROUND('表５'!N14/'表５'!$N$14*100,1)</f>
        <v>100</v>
      </c>
      <c r="P33" s="672">
        <f>ROUND('表５'!O14/'表５'!$O$14*100,1)</f>
        <v>100</v>
      </c>
      <c r="Q33" s="672">
        <f>ROUND('表５'!P14/'表５'!$P$14*100,1)</f>
        <v>100</v>
      </c>
      <c r="R33" s="672">
        <f>ROUND('表５'!Q14/'表５'!$Q$14*100,1)</f>
        <v>100</v>
      </c>
      <c r="S33" s="894">
        <f>ROUND('表５'!R14/'表５'!$R$14*100,1)</f>
        <v>100</v>
      </c>
    </row>
    <row r="34" spans="2:19" ht="12.75">
      <c r="B34" s="589"/>
      <c r="C34" s="563" t="s">
        <v>503</v>
      </c>
      <c r="D34" s="563"/>
      <c r="E34" s="563"/>
      <c r="F34" s="895">
        <f>ROUND('表５'!E15/'表５'!$E$14*100,1)</f>
        <v>84.1</v>
      </c>
      <c r="G34" s="895">
        <f>ROUND('表５'!F15/'表５'!$F$14*100,1)</f>
        <v>84.2</v>
      </c>
      <c r="H34" s="895">
        <f>ROUND('表５'!G15/'表５'!$G$14*100,1)</f>
        <v>88.8</v>
      </c>
      <c r="I34" s="895">
        <f>ROUND('表５'!H15/'表５'!$H$14*100,1)</f>
        <v>82</v>
      </c>
      <c r="J34" s="895">
        <f>ROUND('表５'!I15/'表５'!$I$14*100,1)</f>
        <v>81.1</v>
      </c>
      <c r="K34" s="895">
        <f>ROUND('表５'!J15/'表５'!$J$14*100,1)</f>
        <v>95.6</v>
      </c>
      <c r="L34" s="895">
        <f>ROUND('表５'!K15/'表５'!$K$14*100,1)</f>
        <v>87.6</v>
      </c>
      <c r="M34" s="895">
        <f>ROUND('表５'!L15/'表５'!$L$14*100,1)</f>
        <v>99.9</v>
      </c>
      <c r="N34" s="895">
        <f>ROUND('表５'!M15/'表５'!$M$14*100,1)</f>
        <v>100</v>
      </c>
      <c r="O34" s="895">
        <f>ROUND('表５'!N15/'表５'!$N$14*100,1)</f>
        <v>97.9</v>
      </c>
      <c r="P34" s="895">
        <f>ROUND('表５'!O15/'表５'!$O$14*100,1)</f>
        <v>87.6</v>
      </c>
      <c r="Q34" s="895">
        <f>ROUND('表５'!P15/'表５'!$P$14*100,1)</f>
        <v>81</v>
      </c>
      <c r="R34" s="895">
        <f>ROUND('表５'!Q15/'表５'!$Q$14*100,1)</f>
        <v>74.1</v>
      </c>
      <c r="S34" s="896">
        <f>ROUND('表５'!R15/'表５'!$R$14*100,1)</f>
        <v>98.3</v>
      </c>
    </row>
    <row r="35" spans="2:19" ht="12.75">
      <c r="B35" s="577"/>
      <c r="C35" s="564"/>
      <c r="D35" s="564" t="s">
        <v>459</v>
      </c>
      <c r="E35" s="564"/>
      <c r="F35" s="897"/>
      <c r="G35" s="898">
        <f>ROUND('表５'!F16/'表５'!$F$14*100,1)</f>
        <v>70.4</v>
      </c>
      <c r="H35" s="899">
        <f>ROUND('表５'!G16/'表５'!$G$14*100,1)</f>
        <v>76.6</v>
      </c>
      <c r="I35" s="899">
        <f>ROUND('表５'!H16/'表５'!$H$14*100,1)</f>
        <v>67.8</v>
      </c>
      <c r="J35" s="899">
        <f>ROUND('表５'!I16/'表５'!$I$14*100,1)</f>
        <v>68.2</v>
      </c>
      <c r="K35" s="899">
        <f>ROUND('表５'!J16/'表５'!$J$14*100,1)</f>
        <v>89</v>
      </c>
      <c r="L35" s="899">
        <f>ROUND('表５'!K16/'表５'!$K$14*100,1)</f>
        <v>70.9</v>
      </c>
      <c r="M35" s="899">
        <f>ROUND('表５'!L16/'表５'!$L$14*100,1)</f>
        <v>96.3</v>
      </c>
      <c r="N35" s="899">
        <f>ROUND('表５'!M16/'表５'!$M$14*100,1)</f>
        <v>93.1</v>
      </c>
      <c r="O35" s="900">
        <f>ROUND('表５'!N16/'表５'!$N$14*100,1)+0.1</f>
        <v>85.89999999999999</v>
      </c>
      <c r="P35" s="899">
        <f>ROUND('表５'!O16/'表５'!$O$14*100,1)</f>
        <v>68.5</v>
      </c>
      <c r="Q35" s="899">
        <f>ROUND('表５'!P16/'表５'!$P$14*100,1)</f>
        <v>70.7</v>
      </c>
      <c r="R35" s="899">
        <f>ROUND('表５'!Q16/'表５'!$Q$14*100,1)</f>
        <v>24.8</v>
      </c>
      <c r="S35" s="901">
        <f>ROUND('表５'!R16/'表５'!$R$14*100,1)</f>
        <v>0</v>
      </c>
    </row>
    <row r="36" spans="2:19" ht="12.75">
      <c r="B36" s="577"/>
      <c r="C36" s="564"/>
      <c r="D36" s="564"/>
      <c r="E36" s="564" t="s">
        <v>504</v>
      </c>
      <c r="F36" s="897"/>
      <c r="G36" s="898">
        <f>ROUND('表５'!F17/'表５'!$F$14*100,1)</f>
        <v>45.9</v>
      </c>
      <c r="H36" s="899">
        <f>ROUND('表５'!G17/'表５'!$G$14*100,1)</f>
        <v>50.1</v>
      </c>
      <c r="I36" s="899">
        <f>ROUND('表５'!H17/'表５'!$H$14*100,1)</f>
        <v>44.4</v>
      </c>
      <c r="J36" s="899">
        <f>ROUND('表５'!I17/'表５'!$I$14*100,1)</f>
        <v>44.7</v>
      </c>
      <c r="K36" s="900">
        <f>ROUND('表５'!J17/'表５'!$J$14*100,1)+0.1</f>
        <v>53.1</v>
      </c>
      <c r="L36" s="899">
        <f>ROUND('表５'!K17/'表５'!$K$14*100,1)</f>
        <v>46.3</v>
      </c>
      <c r="M36" s="899">
        <f>ROUND('表５'!L17/'表５'!$L$14*100,1)</f>
        <v>96.3</v>
      </c>
      <c r="N36" s="899">
        <f>ROUND('表５'!M17/'表５'!$M$14*100,1)</f>
        <v>63.4</v>
      </c>
      <c r="O36" s="899">
        <f>ROUND('表５'!N17/'表５'!$N$14*100,1)</f>
        <v>56.9</v>
      </c>
      <c r="P36" s="899">
        <f>ROUND('表５'!O17/'表５'!$O$14*100,1)</f>
        <v>38.7</v>
      </c>
      <c r="Q36" s="899">
        <f>ROUND('表５'!P17/'表５'!$P$14*100,1)</f>
        <v>38.2</v>
      </c>
      <c r="R36" s="899">
        <f>ROUND('表５'!Q17/'表５'!$Q$14*100,1)</f>
        <v>0</v>
      </c>
      <c r="S36" s="901">
        <f>ROUND('表５'!R17/'表５'!$R$14*100,1)</f>
        <v>0</v>
      </c>
    </row>
    <row r="37" spans="2:19" ht="12.75">
      <c r="B37" s="577"/>
      <c r="C37" s="564"/>
      <c r="D37" s="564"/>
      <c r="E37" s="564" t="s">
        <v>505</v>
      </c>
      <c r="F37" s="897"/>
      <c r="G37" s="898">
        <f>ROUND('表５'!F18/'表５'!$F$14*100,1)</f>
        <v>24.5</v>
      </c>
      <c r="H37" s="899">
        <f>ROUND('表５'!G18/'表５'!$G$14*100,1)</f>
        <v>26.5</v>
      </c>
      <c r="I37" s="899">
        <f>ROUND('表５'!H18/'表５'!$H$14*100,1)</f>
        <v>23.4</v>
      </c>
      <c r="J37" s="899">
        <f>ROUND('表５'!I18/'表５'!$I$14*100,1)</f>
        <v>23.5</v>
      </c>
      <c r="K37" s="899">
        <f>ROUND('表５'!J18/'表５'!$J$14*100,1)</f>
        <v>35.9</v>
      </c>
      <c r="L37" s="899">
        <f>ROUND('表５'!K18/'表５'!$K$14*100,1)</f>
        <v>24.6</v>
      </c>
      <c r="M37" s="899">
        <f>ROUND('表５'!L18/'表５'!$L$14*100,1)</f>
        <v>0</v>
      </c>
      <c r="N37" s="899">
        <f>ROUND('表５'!M18/'表５'!$M$14*100,1)</f>
        <v>29.7</v>
      </c>
      <c r="O37" s="899">
        <f>ROUND('表５'!N18/'表５'!$N$14*100,1)</f>
        <v>29</v>
      </c>
      <c r="P37" s="899">
        <f>ROUND('表５'!O18/'表５'!$O$14*100,1)</f>
        <v>29.8</v>
      </c>
      <c r="Q37" s="899">
        <f>ROUND('表５'!P18/'表５'!$P$14*100,1)</f>
        <v>32.5</v>
      </c>
      <c r="R37" s="899">
        <f>ROUND('表５'!Q18/'表５'!$Q$14*100,1)</f>
        <v>0</v>
      </c>
      <c r="S37" s="901">
        <f>ROUND('表５'!R18/'表５'!$R$14*100,1)</f>
        <v>0</v>
      </c>
    </row>
    <row r="38" spans="2:19" ht="12.75">
      <c r="B38" s="577"/>
      <c r="C38" s="564"/>
      <c r="D38" s="564" t="s">
        <v>460</v>
      </c>
      <c r="E38" s="564"/>
      <c r="F38" s="897"/>
      <c r="G38" s="898">
        <f>ROUND('表５'!F19/'表５'!$F$14*100,1)</f>
        <v>2.3</v>
      </c>
      <c r="H38" s="899">
        <f>ROUND('表５'!G19/'表５'!$G$14*100,1)</f>
        <v>1.3</v>
      </c>
      <c r="I38" s="899">
        <f>ROUND('表５'!H19/'表５'!$H$14*100,1)</f>
        <v>2.6</v>
      </c>
      <c r="J38" s="899">
        <f>ROUND('表５'!I19/'表５'!$I$14*100,1)</f>
        <v>2.4</v>
      </c>
      <c r="K38" s="899">
        <f>ROUND('表５'!J19/'表５'!$J$14*100,1)</f>
        <v>1.2</v>
      </c>
      <c r="L38" s="899">
        <f>ROUND('表５'!K19/'表５'!$K$14*100,1)</f>
        <v>2</v>
      </c>
      <c r="M38" s="899">
        <f>ROUND('表５'!L19/'表５'!$L$14*100,1)</f>
        <v>0.4</v>
      </c>
      <c r="N38" s="899">
        <f>ROUND('表５'!M19/'表５'!$M$14*100,1)</f>
        <v>1.7</v>
      </c>
      <c r="O38" s="899">
        <f>ROUND('表５'!N19/'表５'!$N$14*100,1)</f>
        <v>1.5</v>
      </c>
      <c r="P38" s="899">
        <f>ROUND('表５'!O19/'表５'!$O$14*100,1)</f>
        <v>5.5</v>
      </c>
      <c r="Q38" s="899">
        <f>ROUND('表５'!P19/'表５'!$P$14*100,1)</f>
        <v>2.1</v>
      </c>
      <c r="R38" s="899">
        <f>ROUND('表５'!Q19/'表５'!$Q$14*100,1)</f>
        <v>0</v>
      </c>
      <c r="S38" s="901">
        <f>ROUND('表５'!R19/'表５'!$R$14*100,1)</f>
        <v>0</v>
      </c>
    </row>
    <row r="39" spans="2:19" ht="12.75">
      <c r="B39" s="577"/>
      <c r="C39" s="564"/>
      <c r="D39" s="564" t="s">
        <v>461</v>
      </c>
      <c r="E39" s="564"/>
      <c r="F39" s="897"/>
      <c r="G39" s="898">
        <f>ROUND('表５'!F20/'表５'!$F$14*100,1)</f>
        <v>5.4</v>
      </c>
      <c r="H39" s="899">
        <f>ROUND('表５'!G20/'表５'!$G$14*100,1)</f>
        <v>6.6</v>
      </c>
      <c r="I39" s="899">
        <f>ROUND('表５'!H20/'表５'!$H$14*100,1)</f>
        <v>6</v>
      </c>
      <c r="J39" s="899">
        <f>ROUND('表５'!I20/'表５'!$I$14*100,1)</f>
        <v>5.3</v>
      </c>
      <c r="K39" s="899">
        <f>ROUND('表５'!J20/'表５'!$J$14*100,1)</f>
        <v>2.8</v>
      </c>
      <c r="L39" s="899">
        <f>ROUND('表５'!K20/'表５'!$K$14*100,1)</f>
        <v>5</v>
      </c>
      <c r="M39" s="899">
        <f>ROUND('表５'!L20/'表５'!$L$14*100,1)</f>
        <v>0.4</v>
      </c>
      <c r="N39" s="899">
        <f>ROUND('表５'!M20/'表５'!$M$14*100,1)</f>
        <v>0.2</v>
      </c>
      <c r="O39" s="899">
        <f>ROUND('表５'!N20/'表５'!$N$14*100,1)</f>
        <v>3</v>
      </c>
      <c r="P39" s="899">
        <f>ROUND('表５'!O20/'表５'!$O$14*100,1)</f>
        <v>13.4</v>
      </c>
      <c r="Q39" s="899">
        <f>ROUND('表５'!P20/'表５'!$P$14*100,1)</f>
        <v>4.5</v>
      </c>
      <c r="R39" s="899">
        <f>ROUND('表５'!Q20/'表５'!$Q$14*100,1)</f>
        <v>0</v>
      </c>
      <c r="S39" s="901">
        <f>ROUND('表５'!R20/'表５'!$R$14*100,1)</f>
        <v>0</v>
      </c>
    </row>
    <row r="40" spans="2:19" ht="12.75">
      <c r="B40" s="577"/>
      <c r="C40" s="564"/>
      <c r="D40" s="564" t="s">
        <v>462</v>
      </c>
      <c r="E40" s="564"/>
      <c r="F40" s="897"/>
      <c r="G40" s="898">
        <f>ROUND('表５'!F21/'表５'!$F$14*100,1)</f>
        <v>5.8</v>
      </c>
      <c r="H40" s="899">
        <f>ROUND('表５'!G21/'表５'!$G$14*100,1)</f>
        <v>3.6</v>
      </c>
      <c r="I40" s="899">
        <f>ROUND('表５'!H21/'表５'!$H$14*100,1)</f>
        <v>5.2</v>
      </c>
      <c r="J40" s="900">
        <f>ROUND('表５'!I21/'表５'!$I$14*100,1)+0.1</f>
        <v>4.8999999999999995</v>
      </c>
      <c r="K40" s="899">
        <f>ROUND('表５'!J21/'表５'!$J$14*100,1)</f>
        <v>2.6</v>
      </c>
      <c r="L40" s="899">
        <f>ROUND('表５'!K21/'表５'!$K$14*100,1)</f>
        <v>9.5</v>
      </c>
      <c r="M40" s="899">
        <f>ROUND('表５'!L21/'表５'!$L$14*100,1)</f>
        <v>2.7</v>
      </c>
      <c r="N40" s="899">
        <f>ROUND('表５'!M21/'表５'!$M$14*100,1)</f>
        <v>4.9</v>
      </c>
      <c r="O40" s="899">
        <f>ROUND('表５'!N21/'表５'!$N$14*100,1)</f>
        <v>7.3</v>
      </c>
      <c r="P40" s="899">
        <f>ROUND('表５'!O21/'表５'!$O$14*100,1)</f>
        <v>0</v>
      </c>
      <c r="Q40" s="899">
        <f>ROUND('表５'!P21/'表５'!$P$14*100,1)</f>
        <v>3.5</v>
      </c>
      <c r="R40" s="899">
        <f>ROUND('表５'!Q21/'表５'!$Q$14*100,1)</f>
        <v>0</v>
      </c>
      <c r="S40" s="901">
        <f>ROUND('表５'!R21/'表５'!$R$14*100,1)</f>
        <v>0</v>
      </c>
    </row>
    <row r="41" spans="2:19" ht="12.75">
      <c r="B41" s="577"/>
      <c r="C41" s="564"/>
      <c r="D41" s="564" t="s">
        <v>463</v>
      </c>
      <c r="E41" s="564"/>
      <c r="F41" s="897"/>
      <c r="G41" s="898">
        <f>ROUND('表５'!F22/'表５'!$F$14*100,1)</f>
        <v>0.3</v>
      </c>
      <c r="H41" s="899">
        <f>ROUND('表５'!G22/'表５'!$G$14*100,1)</f>
        <v>0.7</v>
      </c>
      <c r="I41" s="899">
        <f>ROUND('表５'!H22/'表５'!$H$14*100,1)</f>
        <v>0.3</v>
      </c>
      <c r="J41" s="899">
        <f>ROUND('表５'!I22/'表５'!$I$14*100,1)</f>
        <v>0.3</v>
      </c>
      <c r="K41" s="899">
        <f>ROUND('表５'!J22/'表５'!$J$14*100,1)</f>
        <v>0</v>
      </c>
      <c r="L41" s="899">
        <f>ROUND('表５'!K22/'表５'!$K$14*100,1)</f>
        <v>0.2</v>
      </c>
      <c r="M41" s="899">
        <f>ROUND('表５'!L22/'表５'!$L$14*100,1)</f>
        <v>0.1</v>
      </c>
      <c r="N41" s="899">
        <f>ROUND('表５'!M22/'表５'!$M$14*100,1)</f>
        <v>0.1</v>
      </c>
      <c r="O41" s="899">
        <f>ROUND('表５'!N22/'表５'!$N$14*100,1)</f>
        <v>0.2</v>
      </c>
      <c r="P41" s="899">
        <f>ROUND('表５'!O22/'表５'!$O$14*100,1)</f>
        <v>0.2</v>
      </c>
      <c r="Q41" s="899">
        <f>ROUND('表５'!P22/'表５'!$P$14*100,1)</f>
        <v>0.2</v>
      </c>
      <c r="R41" s="899">
        <f>ROUND('表５'!Q22/'表５'!$Q$14*100,1)</f>
        <v>0</v>
      </c>
      <c r="S41" s="901">
        <f>ROUND('表５'!R22/'表５'!$R$14*100,1)</f>
        <v>0</v>
      </c>
    </row>
    <row r="42" spans="2:19" ht="12.75">
      <c r="B42" s="589"/>
      <c r="C42" s="563" t="s">
        <v>506</v>
      </c>
      <c r="D42" s="563"/>
      <c r="E42" s="563"/>
      <c r="F42" s="902">
        <f>ROUND('表５'!E23/'表５'!$E$14*100,1)+0.1</f>
        <v>11.1</v>
      </c>
      <c r="G42" s="895">
        <f>ROUND('表５'!F23/'表５'!$F$14*100,1)</f>
        <v>11</v>
      </c>
      <c r="H42" s="895">
        <f>ROUND('表５'!G23/'表５'!$G$14*100,1)</f>
        <v>7.4</v>
      </c>
      <c r="I42" s="895">
        <f>ROUND('表５'!H23/'表５'!$H$14*100,1)</f>
        <v>12.8</v>
      </c>
      <c r="J42" s="895">
        <f>ROUND('表５'!I23/'表５'!$I$14*100,1)</f>
        <v>12.7</v>
      </c>
      <c r="K42" s="895">
        <f>ROUND('表５'!J23/'表５'!$J$14*100,1)</f>
        <v>1.8</v>
      </c>
      <c r="L42" s="895">
        <f>ROUND('表５'!K23/'表５'!$K$14*100,1)</f>
        <v>9</v>
      </c>
      <c r="M42" s="895">
        <f>ROUND('表５'!L23/'表５'!$L$14*100,1)</f>
        <v>0.1</v>
      </c>
      <c r="N42" s="895">
        <f>ROUND('表５'!M23/'表５'!$M$14*100,1)</f>
        <v>0</v>
      </c>
      <c r="O42" s="895">
        <f>ROUND('表５'!N23/'表５'!$N$14*100,1)</f>
        <v>0.5</v>
      </c>
      <c r="P42" s="895">
        <f>ROUND('表５'!O23/'表５'!$O$14*100,1)</f>
        <v>12.4</v>
      </c>
      <c r="Q42" s="895">
        <f>ROUND('表５'!P23/'表５'!$P$14*100,1)</f>
        <v>18.9</v>
      </c>
      <c r="R42" s="895">
        <f>ROUND('表５'!Q23/'表５'!$Q$14*100,1)</f>
        <v>17.7</v>
      </c>
      <c r="S42" s="896">
        <f>ROUND('表５'!R23/'表５'!$R$14*100,1)</f>
        <v>1.5</v>
      </c>
    </row>
    <row r="43" spans="2:19" ht="12.75">
      <c r="B43" s="577"/>
      <c r="C43" s="564"/>
      <c r="D43" s="564" t="s">
        <v>507</v>
      </c>
      <c r="E43" s="564"/>
      <c r="F43" s="903"/>
      <c r="G43" s="898">
        <f>ROUND('表５'!F24/'表５'!$F$14*100,1)</f>
        <v>0</v>
      </c>
      <c r="H43" s="899">
        <f>ROUND('表５'!G24/'表５'!$G$14*100,1)</f>
        <v>0</v>
      </c>
      <c r="I43" s="899">
        <f>ROUND('表５'!H24/'表５'!$H$14*100,1)</f>
        <v>0</v>
      </c>
      <c r="J43" s="899">
        <f>ROUND('表５'!I24/'表５'!$I$14*100,1)</f>
        <v>0</v>
      </c>
      <c r="K43" s="899">
        <f>ROUND('表５'!J24/'表５'!$J$14*100,1)</f>
        <v>0</v>
      </c>
      <c r="L43" s="899">
        <f>ROUND('表５'!K24/'表５'!$K$14*100,1)</f>
        <v>0</v>
      </c>
      <c r="M43" s="899">
        <f>ROUND('表５'!L24/'表５'!$L$14*100,1)</f>
        <v>0</v>
      </c>
      <c r="N43" s="899">
        <f>ROUND('表５'!M24/'表５'!$M$14*100,1)</f>
        <v>0</v>
      </c>
      <c r="O43" s="899">
        <f>ROUND('表５'!N24/'表５'!$N$14*100,1)</f>
        <v>0</v>
      </c>
      <c r="P43" s="899">
        <f>ROUND('表５'!O24/'表５'!$O$14*100,1)</f>
        <v>0</v>
      </c>
      <c r="Q43" s="899">
        <f>ROUND('表５'!P24/'表５'!$P$14*100,1)</f>
        <v>0</v>
      </c>
      <c r="R43" s="899">
        <f>ROUND('表５'!Q24/'表５'!$Q$14*100,1)</f>
        <v>0</v>
      </c>
      <c r="S43" s="901">
        <f>ROUND('表５'!R24/'表５'!$R$14*100,1)</f>
        <v>0</v>
      </c>
    </row>
    <row r="44" spans="2:19" ht="12.75">
      <c r="B44" s="577"/>
      <c r="C44" s="564"/>
      <c r="D44" s="564" t="s">
        <v>508</v>
      </c>
      <c r="E44" s="564"/>
      <c r="F44" s="903"/>
      <c r="G44" s="898">
        <f>ROUND('表５'!F25/'表５'!$F$14*100,1)</f>
        <v>5.3</v>
      </c>
      <c r="H44" s="899">
        <f>ROUND('表５'!G25/'表５'!$G$14*100,1)</f>
        <v>3.5</v>
      </c>
      <c r="I44" s="899">
        <f>ROUND('表５'!H25/'表５'!$H$14*100,1)</f>
        <v>6</v>
      </c>
      <c r="J44" s="899">
        <f>ROUND('表５'!I25/'表５'!$I$14*100,1)</f>
        <v>6.8</v>
      </c>
      <c r="K44" s="899">
        <f>ROUND('表５'!J25/'表５'!$J$14*100,1)</f>
        <v>1.2</v>
      </c>
      <c r="L44" s="899">
        <f>ROUND('表５'!K25/'表５'!$K$14*100,1)</f>
        <v>3.3</v>
      </c>
      <c r="M44" s="899">
        <f>ROUND('表５'!L25/'表５'!$L$14*100,1)</f>
        <v>0.1</v>
      </c>
      <c r="N44" s="899">
        <f>ROUND('表５'!M25/'表５'!$M$14*100,1)</f>
        <v>0</v>
      </c>
      <c r="O44" s="899">
        <f>ROUND('表５'!N25/'表５'!$N$14*100,1)</f>
        <v>0.3</v>
      </c>
      <c r="P44" s="899">
        <f>ROUND('表５'!O25/'表５'!$O$14*100,1)</f>
        <v>0</v>
      </c>
      <c r="Q44" s="899">
        <f>ROUND('表５'!P25/'表５'!$P$14*100,1)</f>
        <v>18.4</v>
      </c>
      <c r="R44" s="899">
        <f>ROUND('表５'!Q25/'表５'!$Q$14*100,1)</f>
        <v>0</v>
      </c>
      <c r="S44" s="901">
        <f>ROUND('表５'!R25/'表５'!$R$14*100,1)</f>
        <v>0</v>
      </c>
    </row>
    <row r="45" spans="2:19" ht="12.75">
      <c r="B45" s="577"/>
      <c r="C45" s="564"/>
      <c r="D45" s="564" t="s">
        <v>509</v>
      </c>
      <c r="E45" s="564"/>
      <c r="F45" s="903"/>
      <c r="G45" s="904">
        <f>ROUND('表５'!F26/'表５'!$F$14*100,1)-0.1</f>
        <v>5.6000000000000005</v>
      </c>
      <c r="H45" s="899">
        <f>ROUND('表５'!G26/'表５'!$G$14*100,1)</f>
        <v>3.9</v>
      </c>
      <c r="I45" s="899">
        <f>ROUND('表５'!H26/'表５'!$H$14*100,1)</f>
        <v>6.7</v>
      </c>
      <c r="J45" s="899">
        <f>ROUND('表５'!I26/'表５'!$I$14*100,1)</f>
        <v>5.8</v>
      </c>
      <c r="K45" s="899">
        <f>ROUND('表５'!J26/'表５'!$J$14*100,1)</f>
        <v>0.6</v>
      </c>
      <c r="L45" s="899">
        <f>ROUND('表５'!K26/'表５'!$K$14*100,1)</f>
        <v>5.7</v>
      </c>
      <c r="M45" s="899">
        <f>ROUND('表５'!L26/'表５'!$L$14*100,1)</f>
        <v>0</v>
      </c>
      <c r="N45" s="899">
        <f>ROUND('表５'!M26/'表５'!$M$14*100,1)</f>
        <v>0</v>
      </c>
      <c r="O45" s="899">
        <f>ROUND('表５'!N26/'表５'!$N$14*100,1)</f>
        <v>0.2</v>
      </c>
      <c r="P45" s="899">
        <f>ROUND('表５'!O26/'表５'!$O$14*100,1)</f>
        <v>12.4</v>
      </c>
      <c r="Q45" s="899">
        <f>ROUND('表５'!P26/'表５'!$P$14*100,1)</f>
        <v>0.5</v>
      </c>
      <c r="R45" s="899">
        <f>ROUND('表５'!Q26/'表５'!$Q$14*100,1)</f>
        <v>0</v>
      </c>
      <c r="S45" s="901">
        <f>ROUND('表５'!R26/'表５'!$R$14*100,1)</f>
        <v>0</v>
      </c>
    </row>
    <row r="46" spans="2:19" ht="12.75">
      <c r="B46" s="577"/>
      <c r="C46" s="564"/>
      <c r="D46" s="564" t="s">
        <v>510</v>
      </c>
      <c r="E46" s="564"/>
      <c r="F46" s="903"/>
      <c r="G46" s="898">
        <f>ROUND('表５'!F27/'表５'!$F$14*100,1)</f>
        <v>0.1</v>
      </c>
      <c r="H46" s="900">
        <f>ROUND('表５'!G27/'表５'!$G$14*100,1)-0.1</f>
        <v>0</v>
      </c>
      <c r="I46" s="899">
        <f>ROUND('表５'!H27/'表５'!$H$14*100,1)</f>
        <v>0.1</v>
      </c>
      <c r="J46" s="899">
        <f>ROUND('表５'!I27/'表５'!$I$14*100,1)</f>
        <v>0.1</v>
      </c>
      <c r="K46" s="899">
        <f>ROUND('表５'!J27/'表５'!$J$14*100,1)</f>
        <v>0</v>
      </c>
      <c r="L46" s="899">
        <f>ROUND('表５'!K27/'表５'!$K$14*100,1)</f>
        <v>0</v>
      </c>
      <c r="M46" s="899">
        <f>ROUND('表５'!L27/'表５'!$L$14*100,1)</f>
        <v>0</v>
      </c>
      <c r="N46" s="899">
        <f>ROUND('表５'!M27/'表５'!$M$14*100,1)</f>
        <v>0</v>
      </c>
      <c r="O46" s="899">
        <f>ROUND('表５'!N27/'表５'!$N$14*100,1)</f>
        <v>0</v>
      </c>
      <c r="P46" s="899">
        <f>ROUND('表５'!O27/'表５'!$O$14*100,1)</f>
        <v>0</v>
      </c>
      <c r="Q46" s="899">
        <f>ROUND('表５'!P27/'表５'!$P$14*100,1)</f>
        <v>0</v>
      </c>
      <c r="R46" s="899">
        <f>ROUND('表５'!Q27/'表５'!$Q$14*100,1)</f>
        <v>0</v>
      </c>
      <c r="S46" s="901">
        <f>ROUND('表５'!R27/'表５'!$R$14*100,1)</f>
        <v>0</v>
      </c>
    </row>
    <row r="47" spans="2:19" ht="12.75">
      <c r="B47" s="589"/>
      <c r="C47" s="563" t="s">
        <v>511</v>
      </c>
      <c r="D47" s="563"/>
      <c r="E47" s="563"/>
      <c r="F47" s="595">
        <f>ROUND('表５'!E28/'表５'!$E$14*100,1)</f>
        <v>4.8</v>
      </c>
      <c r="G47" s="595">
        <f>ROUND('表５'!F28/'表５'!$F$14*100,1)</f>
        <v>4.8</v>
      </c>
      <c r="H47" s="595">
        <f>ROUND('表５'!G28/'表５'!$G$14*100,1)</f>
        <v>3.8</v>
      </c>
      <c r="I47" s="595">
        <f>ROUND('表５'!H28/'表５'!$H$14*100,1)</f>
        <v>5.2</v>
      </c>
      <c r="J47" s="595">
        <f>ROUND('表５'!I28/'表５'!$I$14*100,1)</f>
        <v>6.2</v>
      </c>
      <c r="K47" s="595">
        <f>ROUND('表５'!J28/'表５'!$J$14*100,1)</f>
        <v>2.6</v>
      </c>
      <c r="L47" s="595">
        <f>ROUND('表５'!K28/'表５'!$K$14*100,1)</f>
        <v>3.4</v>
      </c>
      <c r="M47" s="595">
        <f>ROUND('表５'!L28/'表５'!$L$14*100,1)</f>
        <v>0</v>
      </c>
      <c r="N47" s="595">
        <f>ROUND('表５'!M28/'表５'!$M$14*100,1)</f>
        <v>0</v>
      </c>
      <c r="O47" s="595">
        <f>ROUND('表５'!N28/'表５'!$N$14*100,1)</f>
        <v>1.6</v>
      </c>
      <c r="P47" s="595">
        <f>ROUND('表５'!O28/'表５'!$O$14*100,1)</f>
        <v>0</v>
      </c>
      <c r="Q47" s="598">
        <f>ROUND('表５'!P28/'表５'!$P$14*100,1)+0.1</f>
        <v>0.1</v>
      </c>
      <c r="R47" s="598">
        <f>ROUND('表５'!Q28/'表５'!$Q$14*100,1)-0.1</f>
        <v>8.200000000000001</v>
      </c>
      <c r="S47" s="596">
        <f>ROUND('表５'!R28/'表５'!$R$14*100,1)</f>
        <v>0.2</v>
      </c>
    </row>
    <row r="49" spans="6:19" ht="12.75">
      <c r="F49">
        <f>SUM(F34,F42,F47)</f>
        <v>99.99999999999999</v>
      </c>
      <c r="G49">
        <f>SUM(G34,G42,G47)</f>
        <v>100</v>
      </c>
      <c r="H49">
        <f aca="true" t="shared" si="15" ref="H49:S49">SUM(H34,H42,H47)</f>
        <v>100</v>
      </c>
      <c r="I49">
        <f t="shared" si="15"/>
        <v>100</v>
      </c>
      <c r="J49">
        <f t="shared" si="15"/>
        <v>100</v>
      </c>
      <c r="K49">
        <f t="shared" si="15"/>
        <v>99.99999999999999</v>
      </c>
      <c r="L49">
        <f t="shared" si="15"/>
        <v>100</v>
      </c>
      <c r="M49">
        <f t="shared" si="15"/>
        <v>100</v>
      </c>
      <c r="N49">
        <f t="shared" si="15"/>
        <v>100</v>
      </c>
      <c r="O49">
        <f t="shared" si="15"/>
        <v>100</v>
      </c>
      <c r="P49">
        <f t="shared" si="15"/>
        <v>100</v>
      </c>
      <c r="Q49">
        <f t="shared" si="15"/>
        <v>100</v>
      </c>
      <c r="R49">
        <f t="shared" si="15"/>
        <v>100</v>
      </c>
      <c r="S49">
        <f t="shared" si="15"/>
        <v>100</v>
      </c>
    </row>
    <row r="50" spans="6:19" ht="12.75">
      <c r="F50" s="594">
        <f>IF(F49=100,"","100にする")</f>
      </c>
      <c r="G50" s="594">
        <f>IF(G49=100,"","100にする")</f>
      </c>
      <c r="H50" s="594">
        <f aca="true" t="shared" si="16" ref="H50:S50">IF(H49=100,"","100にする")</f>
      </c>
      <c r="I50" s="594">
        <f t="shared" si="16"/>
      </c>
      <c r="J50" s="594">
        <f t="shared" si="16"/>
      </c>
      <c r="K50" s="594">
        <f t="shared" si="16"/>
      </c>
      <c r="L50" s="594">
        <f t="shared" si="16"/>
      </c>
      <c r="M50" s="594">
        <f t="shared" si="16"/>
      </c>
      <c r="N50" s="594">
        <f t="shared" si="16"/>
      </c>
      <c r="O50" s="594">
        <f t="shared" si="16"/>
      </c>
      <c r="P50" s="594">
        <f t="shared" si="16"/>
      </c>
      <c r="Q50" s="594">
        <f t="shared" si="16"/>
      </c>
      <c r="R50" s="594">
        <f t="shared" si="16"/>
      </c>
      <c r="S50" s="594">
        <f t="shared" si="16"/>
      </c>
    </row>
    <row r="54" spans="6:19" ht="12.75">
      <c r="F54" s="597">
        <f>'表５'!E15/'表５'!$E$14</f>
        <v>0.8412392795517072</v>
      </c>
      <c r="G54" s="597">
        <f>'表５'!F15/'表５'!$F$14*100</f>
        <v>84.17764195778527</v>
      </c>
      <c r="H54" s="597">
        <f>'表５'!G15/'表５'!$G$14</f>
        <v>0.8880288122955815</v>
      </c>
      <c r="I54" s="597">
        <f>'表５'!H15/'表５'!$H$14</f>
        <v>0.8199494045847916</v>
      </c>
      <c r="J54" s="597">
        <f>'表５'!I15/'表５'!$I$14</f>
        <v>0.8106045978948164</v>
      </c>
      <c r="K54" s="597">
        <f>'表５'!J15/'表５'!$J$14</f>
        <v>0.9563191389703486</v>
      </c>
      <c r="L54" s="597">
        <f>'表５'!K15/'表５'!$K$14</f>
        <v>0.8758277385070611</v>
      </c>
      <c r="M54" s="597">
        <f>'表５'!L15/'表５'!$L$14</f>
        <v>0.9990396402164323</v>
      </c>
      <c r="N54" s="597">
        <f>'表５'!M15/'表５'!$M$14</f>
        <v>1</v>
      </c>
      <c r="O54" s="597">
        <f>'表５'!N15/'表５'!$N$14</f>
        <v>0.9787647411195651</v>
      </c>
      <c r="P54" s="597">
        <f>'表５'!O15/'表５'!$O$14</f>
        <v>0.8762859842417509</v>
      </c>
      <c r="Q54" s="597">
        <f>'表５'!P15/'表５'!$P$14</f>
        <v>0.8103170700239154</v>
      </c>
      <c r="R54" s="597">
        <f>'表５'!Q15/'表５'!$Q$14</f>
        <v>0.7406455233245072</v>
      </c>
      <c r="S54" s="597">
        <f>'表５'!R15/'表５'!$R$14</f>
        <v>0.9833207197346958</v>
      </c>
    </row>
    <row r="55" spans="6:19" ht="12.75">
      <c r="F55">
        <f>'表５'!E16/'表５'!$E$14</f>
        <v>0.6150483863646343</v>
      </c>
      <c r="G55">
        <f>'表５'!F16/'表５'!$F$14*100</f>
        <v>70.4420895554056</v>
      </c>
      <c r="H55">
        <f>'表５'!G16/'表５'!$G$14</f>
        <v>0.7659013147251897</v>
      </c>
      <c r="I55">
        <f>'表５'!H16/'表５'!$H$14</f>
        <v>0.6782598495090918</v>
      </c>
      <c r="J55">
        <f>'表５'!I16/'表５'!$I$14</f>
        <v>0.6822341395253501</v>
      </c>
      <c r="K55">
        <f>'表５'!J16/'表５'!$J$14</f>
        <v>0.8898574454219615</v>
      </c>
      <c r="L55">
        <f>'表５'!K16/'表５'!$K$14</f>
        <v>0.7085550640148683</v>
      </c>
      <c r="M55">
        <f>'表５'!L16/'表５'!$L$14</f>
        <v>0.9626642008880818</v>
      </c>
      <c r="N55">
        <f>'表５'!M16/'表５'!$M$14</f>
        <v>0.9306059270808619</v>
      </c>
      <c r="O55">
        <f>'表５'!N16/'表５'!$N$14</f>
        <v>0.8581808184394754</v>
      </c>
      <c r="P55">
        <f>'表５'!O16/'表５'!$O$14</f>
        <v>0.6847133628817401</v>
      </c>
      <c r="Q55">
        <f>'表５'!P16/'表５'!$P$14</f>
        <v>0.7071061680656242</v>
      </c>
      <c r="R55">
        <f>'表５'!Q16/'表５'!$Q$14</f>
        <v>0.24811855837259994</v>
      </c>
      <c r="S55">
        <f>'表５'!R16/'表５'!$R$14</f>
        <v>0</v>
      </c>
    </row>
    <row r="56" spans="6:19" ht="12.75">
      <c r="F56">
        <f>'表５'!E17/'表５'!$E$14</f>
        <v>0.38558321606532503</v>
      </c>
      <c r="G56">
        <f>'表５'!F17/'表５'!$F$14*100</f>
        <v>45.93886138428483</v>
      </c>
      <c r="H56">
        <f>'表５'!G17/'表５'!$G$14</f>
        <v>0.5006026888070167</v>
      </c>
      <c r="I56">
        <f>'表５'!H17/'表５'!$H$14</f>
        <v>0.4444266408156815</v>
      </c>
      <c r="J56">
        <f>'表５'!I17/'表５'!$I$14</f>
        <v>0.4474432878355512</v>
      </c>
      <c r="K56">
        <f>'表５'!J17/'表５'!$J$14</f>
        <v>0.5304318385467579</v>
      </c>
      <c r="L56">
        <f>'表５'!K17/'表５'!$K$14</f>
        <v>0.4627217348110693</v>
      </c>
      <c r="M56">
        <f>'表５'!L17/'表５'!$L$14</f>
        <v>0.9626642008880818</v>
      </c>
      <c r="N56">
        <f>'表５'!M17/'表５'!$M$14</f>
        <v>0.6335852851122484</v>
      </c>
      <c r="O56">
        <f>'表５'!N17/'表５'!$N$14</f>
        <v>0.5686692535338453</v>
      </c>
      <c r="P56">
        <f>'表５'!O17/'表５'!$O$14</f>
        <v>0.38696517856780793</v>
      </c>
      <c r="Q56">
        <f>'表５'!P17/'表５'!$P$14</f>
        <v>0.38168914534884807</v>
      </c>
      <c r="R56">
        <f>'表５'!Q17/'表５'!$Q$14</f>
        <v>0</v>
      </c>
      <c r="S56">
        <f>'表５'!R17/'表５'!$R$14</f>
        <v>0</v>
      </c>
    </row>
    <row r="57" spans="6:19" ht="12.75">
      <c r="F57">
        <f>'表５'!E18/'表５'!$E$14</f>
        <v>0.2056653830222114</v>
      </c>
      <c r="G57">
        <f>'表５'!F18/'表５'!$F$14*100</f>
        <v>24.503228171120764</v>
      </c>
      <c r="H57">
        <f>'表５'!G18/'表５'!$G$14</f>
        <v>0.265298625918173</v>
      </c>
      <c r="I57">
        <f>'表５'!H18/'表５'!$H$14</f>
        <v>0.23383320869341026</v>
      </c>
      <c r="J57">
        <f>'表５'!I18/'表５'!$I$14</f>
        <v>0.23479085168979888</v>
      </c>
      <c r="K57">
        <f>'表５'!J18/'表５'!$J$14</f>
        <v>0.35942560687520364</v>
      </c>
      <c r="L57">
        <f>'表５'!K18/'表５'!$K$14</f>
        <v>0.24583332920379905</v>
      </c>
      <c r="M57">
        <f>'表５'!L18/'表５'!$L$14</f>
        <v>0</v>
      </c>
      <c r="N57">
        <f>'表５'!M18/'表５'!$M$14</f>
        <v>0.2970206419686134</v>
      </c>
      <c r="O57">
        <f>'表５'!N18/'表５'!$N$14</f>
        <v>0.28951156490563</v>
      </c>
      <c r="P57">
        <f>'表５'!O18/'表５'!$O$14</f>
        <v>0.29774818431393224</v>
      </c>
      <c r="Q57">
        <f>'表５'!P18/'表５'!$P$14</f>
        <v>0.3254170227167761</v>
      </c>
      <c r="R57">
        <f>'表５'!Q18/'表５'!$Q$14</f>
        <v>0</v>
      </c>
      <c r="S57">
        <f>'表５'!R18/'表５'!$R$14</f>
        <v>0</v>
      </c>
    </row>
    <row r="58" spans="6:19" ht="12.75">
      <c r="F58">
        <f>'表５'!E19/'表５'!$E$14</f>
        <v>0.019273595318743734</v>
      </c>
      <c r="G58">
        <f>'表５'!F19/'表５'!$F$14*100</f>
        <v>2.2962799905029185</v>
      </c>
      <c r="H58">
        <f>'表５'!G19/'表５'!$G$14</f>
        <v>0.013120492757395557</v>
      </c>
      <c r="I58">
        <f>'表５'!H19/'表５'!$H$14</f>
        <v>0.025835868026956844</v>
      </c>
      <c r="J58">
        <f>'表５'!I19/'表５'!$I$14</f>
        <v>0.02428434198478978</v>
      </c>
      <c r="K58">
        <f>'表５'!J19/'表５'!$J$14</f>
        <v>0.012294925057021832</v>
      </c>
      <c r="L58">
        <f>'表５'!K19/'表５'!$K$14</f>
        <v>0.01978586164043837</v>
      </c>
      <c r="M58">
        <f>'表５'!L19/'表５'!$L$14</f>
        <v>0.003881593550308464</v>
      </c>
      <c r="N58">
        <f>'表５'!M19/'表５'!$M$14</f>
        <v>0.01730897422860952</v>
      </c>
      <c r="O58">
        <f>'表５'!N19/'表５'!$N$14</f>
        <v>0.015396032079537224</v>
      </c>
      <c r="P58">
        <f>'表５'!O19/'表５'!$O$14</f>
        <v>0.055478282732024604</v>
      </c>
      <c r="Q58">
        <f>'表５'!P19/'表５'!$P$14</f>
        <v>0.021143299495328186</v>
      </c>
      <c r="R58">
        <f>'表５'!Q19/'表５'!$Q$14</f>
        <v>0</v>
      </c>
      <c r="S58">
        <f>'表５'!R19/'表５'!$R$14</f>
        <v>0</v>
      </c>
    </row>
    <row r="59" spans="6:19" ht="12.75">
      <c r="F59">
        <f>'表５'!E20/'表５'!$E$14</f>
        <v>0.04493013274767933</v>
      </c>
      <c r="G59">
        <f>'表５'!F20/'表５'!$F$14*100</f>
        <v>5.353031600637593</v>
      </c>
      <c r="H59">
        <f>'表５'!G20/'表５'!$G$14</f>
        <v>0.06594972444167663</v>
      </c>
      <c r="I59">
        <f>'表５'!H20/'表５'!$H$14</f>
        <v>0.060454849895805206</v>
      </c>
      <c r="J59">
        <f>'表５'!I20/'表５'!$I$14</f>
        <v>0.052634033241305965</v>
      </c>
      <c r="K59">
        <f>'表５'!J20/'表５'!$J$14</f>
        <v>0.027622800586510263</v>
      </c>
      <c r="L59">
        <f>'表５'!K20/'表５'!$K$14</f>
        <v>0.04992693281946794</v>
      </c>
      <c r="M59">
        <f>'表５'!L20/'表５'!$L$14</f>
        <v>0.004180520869700035</v>
      </c>
      <c r="N59">
        <f>'表５'!M20/'表５'!$M$14</f>
        <v>0.00232744692630128</v>
      </c>
      <c r="O59">
        <f>'表５'!N20/'表５'!$N$14</f>
        <v>0.02988278630629342</v>
      </c>
      <c r="P59">
        <f>'表５'!O20/'表５'!$O$14</f>
        <v>0.13373425087489507</v>
      </c>
      <c r="Q59">
        <f>'表５'!P20/'表５'!$P$14</f>
        <v>0.04529705330747957</v>
      </c>
      <c r="R59">
        <f>'表５'!Q20/'表５'!$Q$14</f>
        <v>0</v>
      </c>
      <c r="S59">
        <f>'表５'!R20/'表５'!$R$14</f>
        <v>0</v>
      </c>
    </row>
    <row r="60" spans="6:19" ht="12.75">
      <c r="F60">
        <f>'表５'!E21/'表５'!$E$14</f>
        <v>0.04865167184412346</v>
      </c>
      <c r="G60">
        <f>'表５'!F21/'表５'!$F$14*100</f>
        <v>5.796420372670603</v>
      </c>
      <c r="H60">
        <f>'表５'!G21/'表５'!$G$14</f>
        <v>0.036411891275182476</v>
      </c>
      <c r="I60">
        <f>'表５'!H21/'表５'!$H$14</f>
        <v>0.052041691393525456</v>
      </c>
      <c r="J60">
        <f>'表５'!I21/'表５'!$I$14</f>
        <v>0.04841740751151845</v>
      </c>
      <c r="K60">
        <f>'表５'!J21/'表５'!$J$14</f>
        <v>0.026119155262300423</v>
      </c>
      <c r="L60">
        <f>'表５'!K21/'表５'!$K$14</f>
        <v>0.09510396339700158</v>
      </c>
      <c r="M60">
        <f>'表５'!L21/'表５'!$L$14</f>
        <v>0.027226924874433796</v>
      </c>
      <c r="N60">
        <f>'表５'!M21/'表５'!$M$14</f>
        <v>0.048915929453501907</v>
      </c>
      <c r="O60">
        <f>'表５'!N21/'表５'!$N$14</f>
        <v>0.07324514738884369</v>
      </c>
      <c r="P60">
        <f>'表５'!O21/'表５'!$O$14</f>
        <v>0</v>
      </c>
      <c r="Q60">
        <f>'表５'!P21/'表５'!$P$14</f>
        <v>0.03476607274080362</v>
      </c>
      <c r="R60">
        <f>'表５'!Q21/'表５'!$Q$14</f>
        <v>0</v>
      </c>
      <c r="S60">
        <f>'表５'!R21/'表５'!$R$14</f>
        <v>0</v>
      </c>
    </row>
    <row r="61" spans="6:19" ht="12.75">
      <c r="F61">
        <f>'表５'!E22/'表５'!$E$14</f>
        <v>0.002432578723489153</v>
      </c>
      <c r="G61">
        <f>'表５'!F22/'表５'!$F$14*100</f>
        <v>0.28982043856856105</v>
      </c>
      <c r="H61">
        <f>'表５'!G22/'表５'!$G$14</f>
        <v>0.006645389096137075</v>
      </c>
      <c r="I61">
        <f>'表５'!H22/'表５'!$H$14</f>
        <v>0.0033571457594123327</v>
      </c>
      <c r="J61">
        <f>'表５'!I22/'表５'!$I$14</f>
        <v>0.0030346756318521935</v>
      </c>
      <c r="K61">
        <f>'表５'!J22/'表５'!$J$14</f>
        <v>0.00042481264255457807</v>
      </c>
      <c r="L61">
        <f>'表５'!K22/'表５'!$K$14</f>
        <v>0.00245591663528487</v>
      </c>
      <c r="M61">
        <f>'表５'!L22/'表５'!$L$14</f>
        <v>0.0010864000339081735</v>
      </c>
      <c r="N61">
        <f>'表５'!M22/'表５'!$M$14</f>
        <v>0.000841722310725463</v>
      </c>
      <c r="O61">
        <f>'表５'!N22/'表５'!$N$14</f>
        <v>0.0020599569054154335</v>
      </c>
      <c r="P61">
        <f>'表５'!O22/'表５'!$O$14</f>
        <v>0.0023600877530910256</v>
      </c>
      <c r="Q61">
        <f>'表５'!P22/'表５'!$P$14</f>
        <v>0.002004476414679798</v>
      </c>
      <c r="R61">
        <f>'表５'!Q22/'表５'!$Q$14</f>
        <v>0</v>
      </c>
      <c r="S61">
        <f>'表５'!R22/'表５'!$R$14</f>
        <v>0</v>
      </c>
    </row>
    <row r="62" spans="6:19" ht="12.75">
      <c r="F62" s="597">
        <f>'表５'!E23/'表５'!$E$14</f>
        <v>0.11043570164841829</v>
      </c>
      <c r="G62" s="597">
        <f>'表５'!F23/'表５'!$F$14*100</f>
        <v>11.02065241402351</v>
      </c>
      <c r="H62" s="597">
        <f>'表５'!G23/'表５'!$G$14</f>
        <v>0.07393367868841293</v>
      </c>
      <c r="I62" s="597">
        <f>'表５'!H23/'表５'!$H$14</f>
        <v>0.1275831417119766</v>
      </c>
      <c r="J62" s="597">
        <f>'表５'!I23/'表５'!$I$14</f>
        <v>0.12691999769693926</v>
      </c>
      <c r="K62" s="597">
        <f>'表５'!J23/'表５'!$J$14</f>
        <v>0.018026128217660475</v>
      </c>
      <c r="L62" s="597">
        <f>'表５'!K23/'表５'!$K$14</f>
        <v>0.09045822133103852</v>
      </c>
      <c r="M62" s="597">
        <f>'表５'!L23/'表５'!$L$14</f>
        <v>0.0009603597835676975</v>
      </c>
      <c r="N62" s="597">
        <f>'表５'!M23/'表５'!$M$14</f>
        <v>0</v>
      </c>
      <c r="O62" s="597">
        <f>'表５'!N23/'表５'!$N$14</f>
        <v>0.005212477759796865</v>
      </c>
      <c r="P62" s="597">
        <f>'表５'!O23/'表５'!$O$14</f>
        <v>0.12371401575824915</v>
      </c>
      <c r="Q62" s="597">
        <f>'表５'!P23/'表５'!$P$14</f>
        <v>0.1892061188886375</v>
      </c>
      <c r="R62" s="597">
        <f>'表５'!Q23/'表５'!$Q$14</f>
        <v>0.17679257360550663</v>
      </c>
      <c r="S62" s="597">
        <f>'表５'!R23/'表５'!$R$14</f>
        <v>0.015088855469885587</v>
      </c>
    </row>
    <row r="63" spans="6:19" ht="12.75">
      <c r="F63">
        <f>'表５'!E24/'表５'!$E$14</f>
        <v>1.8982586692767463E-05</v>
      </c>
      <c r="G63">
        <f>'表５'!F24/'表５'!$F$14*100</f>
        <v>0.002261608862784304</v>
      </c>
      <c r="H63">
        <f>'表５'!G24/'表５'!$G$14</f>
        <v>0</v>
      </c>
      <c r="I63">
        <f>'表５'!H24/'表５'!$H$14</f>
        <v>5.0956715602830144E-05</v>
      </c>
      <c r="J63">
        <f>'表５'!I24/'表５'!$I$14</f>
        <v>0</v>
      </c>
      <c r="K63">
        <f>'表５'!J24/'表５'!$J$14</f>
        <v>0</v>
      </c>
      <c r="L63">
        <f>'表５'!K24/'表５'!$K$14</f>
        <v>0</v>
      </c>
      <c r="M63">
        <f>'表５'!L24/'表５'!$L$14</f>
        <v>0</v>
      </c>
      <c r="N63">
        <f>'表５'!M24/'表５'!$M$14</f>
        <v>0</v>
      </c>
      <c r="O63">
        <f>'表５'!N24/'表５'!$N$14</f>
        <v>0</v>
      </c>
      <c r="P63">
        <f>'表５'!O24/'表５'!$O$14</f>
        <v>0</v>
      </c>
      <c r="Q63">
        <f>'表５'!P24/'表５'!$P$14</f>
        <v>0</v>
      </c>
      <c r="R63">
        <f>'表５'!Q24/'表５'!$Q$14</f>
        <v>0</v>
      </c>
      <c r="S63">
        <f>'表５'!R24/'表５'!$R$14</f>
        <v>0</v>
      </c>
    </row>
    <row r="64" spans="6:19" ht="12.75">
      <c r="F64">
        <f>'表５'!E25/'表５'!$E$14</f>
        <v>0.04430685582382433</v>
      </c>
      <c r="G64">
        <f>'表５'!F25/'表５'!$F$14*100</f>
        <v>5.278773616845716</v>
      </c>
      <c r="H64">
        <f>'表５'!G25/'表５'!$G$14</f>
        <v>0.03466342475633979</v>
      </c>
      <c r="I64">
        <f>'表５'!H25/'表５'!$H$14</f>
        <v>0.0597696715793936</v>
      </c>
      <c r="J64">
        <f>'表５'!I25/'表５'!$I$14</f>
        <v>0.0682258881242251</v>
      </c>
      <c r="K64">
        <f>'表５'!J25/'表５'!$J$14</f>
        <v>0.011691613717823394</v>
      </c>
      <c r="L64">
        <f>'表５'!K25/'表５'!$K$14</f>
        <v>0.0333370749578252</v>
      </c>
      <c r="M64">
        <f>'表５'!L25/'表５'!$L$14</f>
        <v>0.000539853815617614</v>
      </c>
      <c r="N64">
        <f>'表５'!M25/'表５'!$M$14</f>
        <v>0</v>
      </c>
      <c r="O64">
        <f>'表５'!N25/'表５'!$N$14</f>
        <v>0.0032888678283726877</v>
      </c>
      <c r="P64">
        <f>'表５'!O25/'表５'!$O$14</f>
        <v>0</v>
      </c>
      <c r="Q64">
        <f>'表５'!P25/'表５'!$P$14</f>
        <v>0.18371718184078997</v>
      </c>
      <c r="R64">
        <f>'表５'!Q25/'表５'!$Q$14</f>
        <v>0</v>
      </c>
      <c r="S64">
        <f>'表５'!R25/'表５'!$R$14</f>
        <v>0</v>
      </c>
    </row>
    <row r="65" spans="6:19" ht="12.75">
      <c r="F65">
        <f>'表５'!E26/'表５'!$E$14</f>
        <v>0.04753318148309851</v>
      </c>
      <c r="G65">
        <f>'表５'!F26/'表５'!$F$14*100</f>
        <v>5.663162047323582</v>
      </c>
      <c r="H65">
        <f>'表５'!G26/'表５'!$G$14</f>
        <v>0.038699797725229856</v>
      </c>
      <c r="I65">
        <f>'表５'!H26/'表５'!$H$14</f>
        <v>0.06652485626183684</v>
      </c>
      <c r="J65">
        <f>'表５'!I26/'表５'!$I$14</f>
        <v>0.05804471015798036</v>
      </c>
      <c r="K65">
        <f>'表５'!J26/'表５'!$J$14</f>
        <v>0.006263542684913652</v>
      </c>
      <c r="L65">
        <f>'表５'!K26/'表５'!$K$14</f>
        <v>0.056926253668265314</v>
      </c>
      <c r="M65">
        <f>'表５'!L26/'表５'!$L$14</f>
        <v>0.0004160443661681198</v>
      </c>
      <c r="N65">
        <f>'表５'!M26/'表５'!$M$14</f>
        <v>0</v>
      </c>
      <c r="O65">
        <f>'表５'!N26/'表５'!$N$14</f>
        <v>0.0018024622922385043</v>
      </c>
      <c r="P65">
        <f>'表５'!O26/'表５'!$O$14</f>
        <v>0.12371401575824915</v>
      </c>
      <c r="Q65">
        <f>'表５'!P26/'表５'!$P$14</f>
        <v>0.005382355745947573</v>
      </c>
      <c r="R65">
        <f>'表５'!Q26/'表５'!$Q$14</f>
        <v>0</v>
      </c>
      <c r="S65">
        <f>'表５'!R26/'表５'!$R$14</f>
        <v>0</v>
      </c>
    </row>
    <row r="66" spans="6:19" ht="12.75">
      <c r="F66">
        <f>'表５'!E27/'表５'!$E$14</f>
        <v>0.0006417185419899822</v>
      </c>
      <c r="G66">
        <f>'表５'!F27/'表５'!$F$14*100</f>
        <v>0.07645514099142925</v>
      </c>
      <c r="H66">
        <f>'表５'!G27/'表５'!$G$14</f>
        <v>0.0005704562068432851</v>
      </c>
      <c r="I66">
        <f>'表５'!H27/'表５'!$H$14</f>
        <v>0.001237657155143348</v>
      </c>
      <c r="J66">
        <f>'表５'!I27/'表５'!$I$14</f>
        <v>0.0006493994147337875</v>
      </c>
      <c r="K66">
        <f>'表５'!J27/'表５'!$J$14</f>
        <v>7.097181492342783E-05</v>
      </c>
      <c r="L66">
        <f>'表５'!K27/'表５'!$K$14</f>
        <v>0.00019489270494801438</v>
      </c>
      <c r="M66">
        <f>'表５'!L27/'表５'!$L$14</f>
        <v>4.461601781963752E-06</v>
      </c>
      <c r="N66">
        <f>'表５'!M27/'表５'!$M$14</f>
        <v>0</v>
      </c>
      <c r="O66">
        <f>'表５'!N27/'表５'!$N$14</f>
        <v>0.00012114763918567329</v>
      </c>
      <c r="P66">
        <f>'表５'!O27/'表５'!$O$14</f>
        <v>0</v>
      </c>
      <c r="Q66">
        <f>'表５'!P27/'表５'!$P$14</f>
        <v>0.00010658130189995194</v>
      </c>
      <c r="R66">
        <f>'表５'!Q27/'表５'!$Q$14</f>
        <v>0</v>
      </c>
      <c r="S66">
        <f>'表５'!R27/'表５'!$R$14</f>
        <v>0</v>
      </c>
    </row>
    <row r="67" spans="6:19" ht="12.75">
      <c r="F67" s="597">
        <f>'表５'!E28/'表５'!$E$14</f>
        <v>0.04832501879987456</v>
      </c>
      <c r="G67" s="597">
        <f>'表５'!F28/'表５'!$F$14*100</f>
        <v>4.801705628191219</v>
      </c>
      <c r="H67" s="597">
        <f>'表５'!G28/'表５'!$G$14</f>
        <v>0.03803750901600562</v>
      </c>
      <c r="I67" s="597">
        <f>'表５'!H28/'表５'!$H$14</f>
        <v>0.05246745370323175</v>
      </c>
      <c r="J67" s="597">
        <f>'表５'!I28/'表５'!$I$14</f>
        <v>0.06247540440824429</v>
      </c>
      <c r="K67" s="597">
        <f>'表５'!J28/'表５'!$J$14</f>
        <v>0.025654732811990877</v>
      </c>
      <c r="L67" s="597">
        <f>'表５'!K28/'表５'!$K$14</f>
        <v>0.033714040161900334</v>
      </c>
      <c r="M67" s="597">
        <f>'表５'!L28/'表５'!$L$14</f>
        <v>0</v>
      </c>
      <c r="N67" s="597">
        <f>'表５'!M28/'表５'!$M$14</f>
        <v>0</v>
      </c>
      <c r="O67" s="597">
        <f>'表５'!N28/'表５'!$N$14</f>
        <v>0.016022781120638013</v>
      </c>
      <c r="P67" s="597">
        <f>'表５'!O28/'表５'!$O$14</f>
        <v>0</v>
      </c>
      <c r="Q67" s="597">
        <f>'表５'!P28/'表５'!$P$14</f>
        <v>0.0004768110874471534</v>
      </c>
      <c r="R67" s="597">
        <f>'表５'!Q28/'表５'!$Q$14</f>
        <v>0.08256190306998622</v>
      </c>
      <c r="S67" s="597">
        <f>'表５'!R28/'表５'!$R$14</f>
        <v>0.0015904247954186272</v>
      </c>
    </row>
  </sheetData>
  <sheetProtection/>
  <mergeCells count="31">
    <mergeCell ref="O4:O6"/>
    <mergeCell ref="S3:S6"/>
    <mergeCell ref="P4:P6"/>
    <mergeCell ref="Q4:Q6"/>
    <mergeCell ref="R3:R6"/>
    <mergeCell ref="B28:E31"/>
    <mergeCell ref="F28:F31"/>
    <mergeCell ref="I4:I6"/>
    <mergeCell ref="L4:N5"/>
    <mergeCell ref="J4:J6"/>
    <mergeCell ref="K4:K6"/>
    <mergeCell ref="J29:J31"/>
    <mergeCell ref="R28:R31"/>
    <mergeCell ref="L29:L31"/>
    <mergeCell ref="B3:E6"/>
    <mergeCell ref="F3:F6"/>
    <mergeCell ref="G3:Q3"/>
    <mergeCell ref="G4:G6"/>
    <mergeCell ref="H4:H6"/>
    <mergeCell ref="K29:K31"/>
    <mergeCell ref="B7:E8"/>
    <mergeCell ref="M29:M31"/>
    <mergeCell ref="N29:N31"/>
    <mergeCell ref="O29:O31"/>
    <mergeCell ref="S28:S31"/>
    <mergeCell ref="Q29:Q31"/>
    <mergeCell ref="G28:Q28"/>
    <mergeCell ref="G29:G31"/>
    <mergeCell ref="H29:H31"/>
    <mergeCell ref="P29:P31"/>
    <mergeCell ref="I29:I31"/>
  </mergeCells>
  <printOptions/>
  <pageMargins left="0.7" right="0.7" top="0.75" bottom="0.75" header="0.3" footer="0.3"/>
  <pageSetup orientation="portrait" paperSize="9"/>
  <ignoredErrors>
    <ignoredError sqref="I33" formula="1"/>
  </ignoredErrors>
</worksheet>
</file>

<file path=xl/worksheets/sheet34.xml><?xml version="1.0" encoding="utf-8"?>
<worksheet xmlns="http://schemas.openxmlformats.org/spreadsheetml/2006/main" xmlns:r="http://schemas.openxmlformats.org/officeDocument/2006/relationships">
  <sheetPr codeName="Sheet34">
    <tabColor rgb="FFFF0000"/>
  </sheetPr>
  <dimension ref="A1:J31"/>
  <sheetViews>
    <sheetView showGridLines="0" zoomScalePageLayoutView="0" workbookViewId="0" topLeftCell="A1">
      <selection activeCell="A1" sqref="A1"/>
    </sheetView>
  </sheetViews>
  <sheetFormatPr defaultColWidth="9.00390625" defaultRowHeight="13.5"/>
  <cols>
    <col min="2" max="2" width="3.00390625" style="0" customWidth="1"/>
    <col min="3" max="3" width="3.25390625" style="0" customWidth="1"/>
    <col min="4" max="4" width="17.625" style="0" customWidth="1"/>
    <col min="5" max="5" width="12.875" style="0" customWidth="1"/>
    <col min="6" max="6" width="9.00390625" style="0" customWidth="1"/>
    <col min="7" max="7" width="8.50390625" style="0" customWidth="1"/>
    <col min="9" max="9" width="9.25390625" style="0" bestFit="1" customWidth="1"/>
  </cols>
  <sheetData>
    <row r="1" spans="1:8" ht="13.5" thickBot="1">
      <c r="A1" s="558"/>
      <c r="B1" s="871" t="s">
        <v>455</v>
      </c>
      <c r="C1" s="558"/>
      <c r="D1" s="558"/>
      <c r="E1" s="872"/>
      <c r="F1" s="878"/>
      <c r="G1" s="878"/>
      <c r="H1" s="558"/>
    </row>
    <row r="2" spans="1:9" ht="21.75" thickTop="1">
      <c r="A2" s="558"/>
      <c r="B2" s="1396" t="s">
        <v>527</v>
      </c>
      <c r="C2" s="1396"/>
      <c r="D2" s="1397"/>
      <c r="E2" s="791" t="s">
        <v>528</v>
      </c>
      <c r="F2" s="677" t="s">
        <v>440</v>
      </c>
      <c r="G2" s="792" t="s">
        <v>374</v>
      </c>
      <c r="H2" s="558"/>
      <c r="I2" s="891" t="s">
        <v>441</v>
      </c>
    </row>
    <row r="3" spans="1:9" ht="11.25" customHeight="1">
      <c r="A3" s="558"/>
      <c r="B3" s="1398" t="s">
        <v>29</v>
      </c>
      <c r="C3" s="1398"/>
      <c r="D3" s="1399"/>
      <c r="E3" s="659" t="s">
        <v>426</v>
      </c>
      <c r="F3" s="660"/>
      <c r="G3" s="661" t="s">
        <v>366</v>
      </c>
      <c r="H3" s="558"/>
      <c r="I3" s="891"/>
    </row>
    <row r="4" spans="1:10" ht="12.75">
      <c r="A4" s="872"/>
      <c r="B4" s="1400"/>
      <c r="C4" s="1400"/>
      <c r="D4" s="1401"/>
      <c r="E4" s="662">
        <f>'表７'!E6</f>
        <v>1196132</v>
      </c>
      <c r="F4" s="663">
        <f>ROUND(E4/小１人当*100,0)</f>
        <v>116</v>
      </c>
      <c r="G4" s="664">
        <f>ROUND((E4-I4)/I4*100,1)</f>
        <v>0.2</v>
      </c>
      <c r="H4" s="558"/>
      <c r="I4" s="892">
        <v>1193511</v>
      </c>
      <c r="J4" s="517" t="s">
        <v>442</v>
      </c>
    </row>
    <row r="5" spans="1:9" ht="12.75">
      <c r="A5" s="872"/>
      <c r="B5" s="612"/>
      <c r="C5" s="1232" t="s">
        <v>30</v>
      </c>
      <c r="D5" s="1232"/>
      <c r="E5" s="665">
        <f>'表７'!E7</f>
        <v>1209932</v>
      </c>
      <c r="F5" s="666">
        <f>ROUND(E5/小１人当*100,0)</f>
        <v>118</v>
      </c>
      <c r="G5" s="667">
        <f aca="true" t="shared" si="0" ref="G5:G16">ROUND((E5-I5)/I5*100,1)</f>
        <v>14</v>
      </c>
      <c r="H5" s="558"/>
      <c r="I5" s="892">
        <v>1061317</v>
      </c>
    </row>
    <row r="6" spans="1:9" ht="12.75">
      <c r="A6" s="872"/>
      <c r="B6" s="616"/>
      <c r="C6" s="1232" t="s">
        <v>31</v>
      </c>
      <c r="D6" s="1232"/>
      <c r="E6" s="665">
        <f>'表７'!E8</f>
        <v>1027183</v>
      </c>
      <c r="F6" s="666">
        <f>ROUND(E6/小１人当*100,0)</f>
        <v>100</v>
      </c>
      <c r="G6" s="667">
        <f t="shared" si="0"/>
        <v>-0.3</v>
      </c>
      <c r="H6" s="558"/>
      <c r="I6" s="892">
        <v>1030723</v>
      </c>
    </row>
    <row r="7" spans="1:9" ht="12.75">
      <c r="A7" s="872"/>
      <c r="B7" s="616"/>
      <c r="C7" s="1232" t="s">
        <v>32</v>
      </c>
      <c r="D7" s="1232"/>
      <c r="E7" s="665">
        <f>'表７'!E9</f>
        <v>1221929</v>
      </c>
      <c r="F7" s="666">
        <f aca="true" t="shared" si="1" ref="F7:F13">ROUND(E7/小１人当*100,0)</f>
        <v>119</v>
      </c>
      <c r="G7" s="667">
        <f t="shared" si="0"/>
        <v>-6.4</v>
      </c>
      <c r="H7" s="558"/>
      <c r="I7" s="892">
        <v>1305640</v>
      </c>
    </row>
    <row r="8" spans="1:9" ht="12.75">
      <c r="A8" s="872"/>
      <c r="B8" s="616"/>
      <c r="C8" s="1232" t="s">
        <v>243</v>
      </c>
      <c r="D8" s="1232"/>
      <c r="E8" s="665">
        <f>'表７'!E10</f>
        <v>6551568</v>
      </c>
      <c r="F8" s="666">
        <f t="shared" si="1"/>
        <v>638</v>
      </c>
      <c r="G8" s="667">
        <f t="shared" si="0"/>
        <v>3.1</v>
      </c>
      <c r="H8" s="558"/>
      <c r="I8" s="892">
        <v>6353516</v>
      </c>
    </row>
    <row r="9" spans="1:9" ht="12.75">
      <c r="A9" s="872"/>
      <c r="B9" s="668"/>
      <c r="C9" s="1233" t="s">
        <v>33</v>
      </c>
      <c r="D9" s="618" t="s">
        <v>34</v>
      </c>
      <c r="E9" s="665">
        <f>'表７'!E11</f>
        <v>1330275</v>
      </c>
      <c r="F9" s="666">
        <f t="shared" si="1"/>
        <v>130</v>
      </c>
      <c r="G9" s="667">
        <f t="shared" si="0"/>
        <v>8.7</v>
      </c>
      <c r="H9" s="558"/>
      <c r="I9" s="892">
        <v>1224008</v>
      </c>
    </row>
    <row r="10" spans="1:9" ht="12.75">
      <c r="A10" s="872"/>
      <c r="B10" s="668"/>
      <c r="C10" s="1233"/>
      <c r="D10" s="618" t="s">
        <v>35</v>
      </c>
      <c r="E10" s="665">
        <f>'表７'!E12</f>
        <v>2668271</v>
      </c>
      <c r="F10" s="666">
        <f t="shared" si="1"/>
        <v>260</v>
      </c>
      <c r="G10" s="667">
        <f t="shared" si="0"/>
        <v>6.8</v>
      </c>
      <c r="H10" s="558"/>
      <c r="I10" s="892">
        <v>2498104</v>
      </c>
    </row>
    <row r="11" spans="1:9" ht="12.75">
      <c r="A11" s="872"/>
      <c r="B11" s="668"/>
      <c r="C11" s="1233"/>
      <c r="D11" s="618" t="s">
        <v>36</v>
      </c>
      <c r="E11" s="665">
        <f>'表７'!E13</f>
        <v>424504</v>
      </c>
      <c r="F11" s="666">
        <f t="shared" si="1"/>
        <v>41</v>
      </c>
      <c r="G11" s="667">
        <f t="shared" si="0"/>
        <v>-0.9</v>
      </c>
      <c r="H11" s="558"/>
      <c r="I11" s="892">
        <v>428306</v>
      </c>
    </row>
    <row r="12" spans="1:9" ht="12.75">
      <c r="A12" s="872"/>
      <c r="B12" s="616"/>
      <c r="C12" s="1391" t="s">
        <v>379</v>
      </c>
      <c r="D12" s="1232"/>
      <c r="E12" s="665">
        <f>'表７'!E15</f>
        <v>909325</v>
      </c>
      <c r="F12" s="666">
        <f t="shared" si="1"/>
        <v>89</v>
      </c>
      <c r="G12" s="667">
        <f t="shared" si="0"/>
        <v>9.5</v>
      </c>
      <c r="H12" s="558"/>
      <c r="I12" s="892">
        <v>830070</v>
      </c>
    </row>
    <row r="13" spans="1:9" ht="12.75">
      <c r="A13" s="872"/>
      <c r="B13" s="668"/>
      <c r="C13" s="1232" t="s">
        <v>39</v>
      </c>
      <c r="D13" s="1232"/>
      <c r="E13" s="665">
        <f>'表７'!E16</f>
        <v>2740011</v>
      </c>
      <c r="F13" s="666">
        <f t="shared" si="1"/>
        <v>267</v>
      </c>
      <c r="G13" s="667">
        <f t="shared" si="0"/>
        <v>10</v>
      </c>
      <c r="H13" s="558"/>
      <c r="I13" s="892">
        <v>2491410</v>
      </c>
    </row>
    <row r="14" spans="1:9" ht="12.75">
      <c r="A14" s="872"/>
      <c r="B14" s="669"/>
      <c r="C14" s="1232" t="s">
        <v>380</v>
      </c>
      <c r="D14" s="1232"/>
      <c r="E14" s="665">
        <f>'表７'!E17</f>
        <v>932525</v>
      </c>
      <c r="F14" s="666">
        <f>ROUND(E14/小１人当*100,0)</f>
        <v>91</v>
      </c>
      <c r="G14" s="667">
        <f t="shared" si="0"/>
        <v>-12</v>
      </c>
      <c r="H14" s="558"/>
      <c r="I14" s="892">
        <v>1059323</v>
      </c>
    </row>
    <row r="15" spans="1:9" ht="12.75">
      <c r="A15" s="872"/>
      <c r="B15" s="1392" t="s">
        <v>40</v>
      </c>
      <c r="C15" s="1392"/>
      <c r="D15" s="1393"/>
      <c r="E15" s="682">
        <f>'表７'!E18</f>
        <v>13073</v>
      </c>
      <c r="F15" s="670">
        <f>ROUND(E15/小１人当*100,0)</f>
        <v>1</v>
      </c>
      <c r="G15" s="671">
        <f t="shared" si="0"/>
        <v>-20.2</v>
      </c>
      <c r="H15" s="558"/>
      <c r="I15" s="892">
        <v>16373</v>
      </c>
    </row>
    <row r="16" spans="1:9" ht="13.5" thickBot="1">
      <c r="A16" s="872"/>
      <c r="B16" s="1394" t="s">
        <v>41</v>
      </c>
      <c r="C16" s="1394"/>
      <c r="D16" s="1395"/>
      <c r="E16" s="793">
        <f>'表７'!E19</f>
        <v>8823</v>
      </c>
      <c r="F16" s="794">
        <f>ROUND(E16/小１人当*100,0)</f>
        <v>1</v>
      </c>
      <c r="G16" s="795">
        <f t="shared" si="0"/>
        <v>-4.3</v>
      </c>
      <c r="H16" s="558"/>
      <c r="I16" s="892">
        <v>9215</v>
      </c>
    </row>
    <row r="17" spans="1:9" ht="13.5" thickTop="1">
      <c r="A17" s="558"/>
      <c r="B17" s="556" t="s">
        <v>439</v>
      </c>
      <c r="H17" s="558"/>
      <c r="I17" t="s">
        <v>445</v>
      </c>
    </row>
    <row r="18" spans="1:10" ht="12.75">
      <c r="A18" s="558"/>
      <c r="B18" s="905"/>
      <c r="C18" s="558"/>
      <c r="D18" s="558"/>
      <c r="E18" s="558"/>
      <c r="F18" s="558"/>
      <c r="G18" s="558"/>
      <c r="H18" s="558"/>
      <c r="I18" t="s">
        <v>443</v>
      </c>
      <c r="J18" t="s">
        <v>444</v>
      </c>
    </row>
    <row r="19" spans="2:10" ht="12.75">
      <c r="B19" s="556"/>
      <c r="I19">
        <f aca="true" t="shared" si="2" ref="I19:I31">(E4/I4)-1</f>
        <v>0.002196041762497325</v>
      </c>
      <c r="J19">
        <f>I19*100</f>
        <v>0.2196041762497325</v>
      </c>
    </row>
    <row r="20" spans="9:10" ht="12.75">
      <c r="I20">
        <f t="shared" si="2"/>
        <v>0.14002885094651263</v>
      </c>
      <c r="J20">
        <f aca="true" t="shared" si="3" ref="J20:J31">I20*100</f>
        <v>14.002885094651262</v>
      </c>
    </row>
    <row r="21" spans="9:10" ht="12.75">
      <c r="I21">
        <f t="shared" si="2"/>
        <v>-0.003434482397307481</v>
      </c>
      <c r="J21">
        <f t="shared" si="3"/>
        <v>-0.3434482397307481</v>
      </c>
    </row>
    <row r="22" spans="9:10" ht="12.75">
      <c r="I22">
        <f t="shared" si="2"/>
        <v>-0.06411491682240122</v>
      </c>
      <c r="J22">
        <f t="shared" si="3"/>
        <v>-6.411491682240122</v>
      </c>
    </row>
    <row r="23" spans="9:10" ht="12.75">
      <c r="I23">
        <f t="shared" si="2"/>
        <v>0.03117203136027369</v>
      </c>
      <c r="J23">
        <f t="shared" si="3"/>
        <v>3.117203136027369</v>
      </c>
    </row>
    <row r="24" spans="9:10" ht="12.75">
      <c r="I24">
        <f t="shared" si="2"/>
        <v>0.08681887700080382</v>
      </c>
      <c r="J24">
        <f t="shared" si="3"/>
        <v>8.681887700080381</v>
      </c>
    </row>
    <row r="25" spans="9:10" ht="12.75">
      <c r="I25">
        <f t="shared" si="2"/>
        <v>0.0681184610408534</v>
      </c>
      <c r="J25">
        <f t="shared" si="3"/>
        <v>6.8118461040853395</v>
      </c>
    </row>
    <row r="26" spans="9:10" ht="12.75">
      <c r="I26">
        <f t="shared" si="2"/>
        <v>-0.008876831050697365</v>
      </c>
      <c r="J26">
        <f t="shared" si="3"/>
        <v>-0.8876831050697365</v>
      </c>
    </row>
    <row r="27" spans="9:10" ht="12.75">
      <c r="I27">
        <f t="shared" si="2"/>
        <v>0.09547989928560252</v>
      </c>
      <c r="J27">
        <f t="shared" si="3"/>
        <v>9.547989928560252</v>
      </c>
    </row>
    <row r="28" spans="9:10" ht="12.75">
      <c r="I28">
        <f t="shared" si="2"/>
        <v>0.0997832552650908</v>
      </c>
      <c r="J28">
        <f t="shared" si="3"/>
        <v>9.97832552650908</v>
      </c>
    </row>
    <row r="29" spans="9:10" ht="12.75">
      <c r="I29">
        <f t="shared" si="2"/>
        <v>-0.11969720283615104</v>
      </c>
      <c r="J29">
        <f t="shared" si="3"/>
        <v>-11.969720283615104</v>
      </c>
    </row>
    <row r="30" spans="9:10" ht="12.75">
      <c r="I30">
        <f t="shared" si="2"/>
        <v>-0.2015513345141391</v>
      </c>
      <c r="J30">
        <f t="shared" si="3"/>
        <v>-20.15513345141391</v>
      </c>
    </row>
    <row r="31" spans="9:10" ht="12.75">
      <c r="I31">
        <f t="shared" si="2"/>
        <v>-0.042539338035811225</v>
      </c>
      <c r="J31">
        <f t="shared" si="3"/>
        <v>-4.2539338035811225</v>
      </c>
    </row>
  </sheetData>
  <sheetProtection/>
  <mergeCells count="12">
    <mergeCell ref="B2:D2"/>
    <mergeCell ref="C5:D5"/>
    <mergeCell ref="C6:D6"/>
    <mergeCell ref="C7:D7"/>
    <mergeCell ref="C8:D8"/>
    <mergeCell ref="B3:D4"/>
    <mergeCell ref="C9:C11"/>
    <mergeCell ref="C12:D12"/>
    <mergeCell ref="C13:D13"/>
    <mergeCell ref="C14:D14"/>
    <mergeCell ref="B15:D15"/>
    <mergeCell ref="B16:D16"/>
  </mergeCells>
  <printOptions/>
  <pageMargins left="0.7" right="0.7" top="0.75" bottom="0.75" header="0.3" footer="0.3"/>
  <pageSetup orientation="portrait" paperSize="9" r:id="rId1"/>
</worksheet>
</file>

<file path=xl/worksheets/sheet35.xml><?xml version="1.0" encoding="utf-8"?>
<worksheet xmlns="http://schemas.openxmlformats.org/spreadsheetml/2006/main" xmlns:r="http://schemas.openxmlformats.org/officeDocument/2006/relationships">
  <sheetPr codeName="Sheet35">
    <tabColor rgb="FFFF0000"/>
  </sheetPr>
  <dimension ref="A1:L24"/>
  <sheetViews>
    <sheetView showGridLines="0" zoomScalePageLayoutView="0" workbookViewId="0" topLeftCell="A1">
      <selection activeCell="A1" sqref="A1"/>
    </sheetView>
  </sheetViews>
  <sheetFormatPr defaultColWidth="9.00390625" defaultRowHeight="13.5"/>
  <cols>
    <col min="1" max="1" width="15.25390625" style="0" customWidth="1"/>
    <col min="2" max="2" width="1.25" style="0" customWidth="1"/>
    <col min="3" max="3" width="1.4921875" style="0" customWidth="1"/>
    <col min="4" max="4" width="2.25390625" style="0" customWidth="1"/>
    <col min="5" max="5" width="6.375" style="0" customWidth="1"/>
    <col min="6" max="6" width="10.125" style="0" customWidth="1"/>
    <col min="7" max="9" width="9.375" style="0" customWidth="1"/>
  </cols>
  <sheetData>
    <row r="1" spans="1:10" ht="12.75">
      <c r="A1" s="558"/>
      <c r="B1" s="876" t="s">
        <v>456</v>
      </c>
      <c r="C1" s="872"/>
      <c r="D1" s="872"/>
      <c r="E1" s="872"/>
      <c r="F1" s="872"/>
      <c r="G1" s="872"/>
      <c r="H1" s="872"/>
      <c r="I1" s="872"/>
      <c r="J1" s="558"/>
    </row>
    <row r="2" spans="1:10" ht="13.5" thickBot="1">
      <c r="A2" s="558"/>
      <c r="B2" s="877"/>
      <c r="C2" s="878"/>
      <c r="D2" s="878"/>
      <c r="E2" s="878"/>
      <c r="F2" s="878"/>
      <c r="G2" s="878"/>
      <c r="H2" s="878"/>
      <c r="I2" s="878"/>
      <c r="J2" s="558"/>
    </row>
    <row r="3" spans="1:10" ht="6.75" customHeight="1" thickTop="1">
      <c r="A3" s="872"/>
      <c r="B3" s="1410" t="s">
        <v>543</v>
      </c>
      <c r="C3" s="1411"/>
      <c r="D3" s="1411"/>
      <c r="E3" s="1411"/>
      <c r="F3" s="1414" t="s">
        <v>454</v>
      </c>
      <c r="G3" s="1414" t="s">
        <v>541</v>
      </c>
      <c r="H3" s="1414" t="s">
        <v>540</v>
      </c>
      <c r="I3" s="1417" t="s">
        <v>542</v>
      </c>
      <c r="J3" s="906"/>
    </row>
    <row r="4" spans="1:10" ht="6.75" customHeight="1">
      <c r="A4" s="872"/>
      <c r="B4" s="1412"/>
      <c r="C4" s="1413"/>
      <c r="D4" s="1413"/>
      <c r="E4" s="1413"/>
      <c r="F4" s="1415"/>
      <c r="G4" s="1415"/>
      <c r="H4" s="1416"/>
      <c r="I4" s="1418"/>
      <c r="J4" s="906"/>
    </row>
    <row r="5" spans="1:10" ht="6.75" customHeight="1">
      <c r="A5" s="872"/>
      <c r="B5" s="1412"/>
      <c r="C5" s="1413"/>
      <c r="D5" s="1413"/>
      <c r="E5" s="1413"/>
      <c r="F5" s="1415"/>
      <c r="G5" s="1415"/>
      <c r="H5" s="1416"/>
      <c r="I5" s="1418"/>
      <c r="J5" s="906"/>
    </row>
    <row r="6" spans="1:10" ht="6.75" customHeight="1">
      <c r="A6" s="872"/>
      <c r="B6" s="1412"/>
      <c r="C6" s="1413"/>
      <c r="D6" s="1413"/>
      <c r="E6" s="1413"/>
      <c r="F6" s="1415"/>
      <c r="G6" s="1415"/>
      <c r="H6" s="1416"/>
      <c r="I6" s="1418"/>
      <c r="J6" s="906"/>
    </row>
    <row r="7" spans="1:10" ht="6.75" customHeight="1">
      <c r="A7" s="872"/>
      <c r="B7" s="1412"/>
      <c r="C7" s="1413"/>
      <c r="D7" s="1413"/>
      <c r="E7" s="1413"/>
      <c r="F7" s="1415"/>
      <c r="G7" s="1415"/>
      <c r="H7" s="1416"/>
      <c r="I7" s="1418"/>
      <c r="J7" s="906"/>
    </row>
    <row r="8" spans="1:11" ht="6.75" customHeight="1">
      <c r="A8" s="872"/>
      <c r="B8" s="1412"/>
      <c r="C8" s="1413"/>
      <c r="D8" s="1413"/>
      <c r="E8" s="1413"/>
      <c r="F8" s="1415"/>
      <c r="G8" s="1415"/>
      <c r="H8" s="1416"/>
      <c r="I8" s="1418"/>
      <c r="J8" s="906"/>
      <c r="K8" s="891" t="s">
        <v>441</v>
      </c>
    </row>
    <row r="9" spans="1:11" ht="12" customHeight="1">
      <c r="A9" s="872"/>
      <c r="B9" s="1422" t="s">
        <v>446</v>
      </c>
      <c r="C9" s="1422"/>
      <c r="D9" s="1422"/>
      <c r="E9" s="1423"/>
      <c r="F9" s="591" t="s">
        <v>448</v>
      </c>
      <c r="G9" s="591" t="s">
        <v>449</v>
      </c>
      <c r="H9" s="591" t="s">
        <v>452</v>
      </c>
      <c r="I9" s="592" t="s">
        <v>452</v>
      </c>
      <c r="J9" s="558"/>
      <c r="K9" s="891"/>
    </row>
    <row r="10" spans="1:12" ht="12" customHeight="1">
      <c r="A10" s="872"/>
      <c r="B10" s="1424"/>
      <c r="C10" s="1424"/>
      <c r="D10" s="1424"/>
      <c r="E10" s="1425"/>
      <c r="F10" s="684">
        <f>SUM(F11,F22,F23)</f>
        <v>24988</v>
      </c>
      <c r="G10" s="685" t="s">
        <v>457</v>
      </c>
      <c r="H10" s="673">
        <f>ROUND(F10/'表５'!E$5*100,2)</f>
        <v>0.01</v>
      </c>
      <c r="I10" s="686">
        <f>IF(K10=0,"-",ROUND((F10-K10)/K10*100,1))</f>
        <v>-46.5</v>
      </c>
      <c r="J10" s="558"/>
      <c r="K10" s="891">
        <v>46685</v>
      </c>
      <c r="L10" s="517" t="s">
        <v>442</v>
      </c>
    </row>
    <row r="11" spans="1:11" ht="12" customHeight="1">
      <c r="A11" s="872"/>
      <c r="B11" s="692"/>
      <c r="C11" s="1407" t="s">
        <v>427</v>
      </c>
      <c r="D11" s="1408"/>
      <c r="E11" s="1409"/>
      <c r="F11" s="687">
        <f>SUM(F12:F21)</f>
        <v>580</v>
      </c>
      <c r="G11" s="688">
        <f>ROUND(F11/'表５'!F$31*1000,0)</f>
        <v>4</v>
      </c>
      <c r="H11" s="675">
        <f>IF(F11="－","－",ROUND(F11/'表５'!F$5*100,1))</f>
        <v>0</v>
      </c>
      <c r="I11" s="686">
        <f aca="true" t="shared" si="0" ref="I11:I23">IF(K11=0,"-",ROUND((F11-K11)/K11*100,1))</f>
        <v>-94.9</v>
      </c>
      <c r="J11" s="558"/>
      <c r="K11" s="891">
        <v>11400</v>
      </c>
    </row>
    <row r="12" spans="1:11" ht="12" customHeight="1">
      <c r="A12" s="872"/>
      <c r="B12" s="693"/>
      <c r="C12" s="694" t="s">
        <v>453</v>
      </c>
      <c r="D12" s="1405" t="s">
        <v>536</v>
      </c>
      <c r="E12" s="1406"/>
      <c r="F12" s="689">
        <f>'表８'!L5</f>
        <v>0</v>
      </c>
      <c r="G12" s="690">
        <f>ROUND(F12/'表５'!G$31*1000,0)</f>
        <v>0</v>
      </c>
      <c r="H12" s="676">
        <f>IF(F12="－","－",ROUND(F12/'表５'!G$5*100,1))</f>
        <v>0</v>
      </c>
      <c r="I12" s="686" t="str">
        <f t="shared" si="0"/>
        <v>-</v>
      </c>
      <c r="J12" s="558"/>
      <c r="K12" s="891">
        <v>0</v>
      </c>
    </row>
    <row r="13" spans="1:11" ht="12" customHeight="1">
      <c r="A13" s="872"/>
      <c r="B13" s="693"/>
      <c r="C13" s="695"/>
      <c r="D13" s="1405" t="s">
        <v>537</v>
      </c>
      <c r="E13" s="1406"/>
      <c r="F13" s="689">
        <f>'表９'!L5</f>
        <v>330</v>
      </c>
      <c r="G13" s="690">
        <f>ROUND(F13/'表５'!H$31*1000,0)</f>
        <v>5</v>
      </c>
      <c r="H13" s="676">
        <f>IF(F13="－","－",ROUND(F13/'表５'!H$5*100,1))</f>
        <v>0</v>
      </c>
      <c r="I13" s="686">
        <f t="shared" si="0"/>
        <v>-94.8</v>
      </c>
      <c r="J13" s="558"/>
      <c r="K13" s="891">
        <v>6400</v>
      </c>
    </row>
    <row r="14" spans="1:11" ht="12" customHeight="1">
      <c r="A14" s="872"/>
      <c r="B14" s="696"/>
      <c r="C14" s="695"/>
      <c r="D14" s="1405" t="s">
        <v>538</v>
      </c>
      <c r="E14" s="1406"/>
      <c r="F14" s="689">
        <f>'表１０'!L5</f>
        <v>250</v>
      </c>
      <c r="G14" s="690">
        <f>ROUND(F14/'表５'!I$31*1000,0)</f>
        <v>8</v>
      </c>
      <c r="H14" s="676">
        <f>IF(F14="－","－",ROUND(F14/'表５'!I$5*100,1))</f>
        <v>0</v>
      </c>
      <c r="I14" s="686">
        <f t="shared" si="0"/>
        <v>-95</v>
      </c>
      <c r="J14" s="558"/>
      <c r="K14" s="891">
        <v>5000</v>
      </c>
    </row>
    <row r="15" spans="1:11" ht="12" customHeight="1">
      <c r="A15" s="872"/>
      <c r="B15" s="693"/>
      <c r="C15" s="697"/>
      <c r="D15" s="1405" t="s">
        <v>431</v>
      </c>
      <c r="E15" s="1406"/>
      <c r="F15" s="689">
        <f>'表１１'!L5</f>
        <v>0</v>
      </c>
      <c r="G15" s="690">
        <f>ROUND(F15/'表５'!J$31*1000,0)</f>
        <v>0</v>
      </c>
      <c r="H15" s="676">
        <f>IF(F15="－","－",ROUND(F15/'表５'!J$5*100,1))</f>
        <v>0</v>
      </c>
      <c r="I15" s="686" t="str">
        <f t="shared" si="0"/>
        <v>-</v>
      </c>
      <c r="J15" s="558"/>
      <c r="K15" s="891">
        <v>0</v>
      </c>
    </row>
    <row r="16" spans="1:11" ht="12" customHeight="1">
      <c r="A16" s="872"/>
      <c r="B16" s="693"/>
      <c r="C16" s="695"/>
      <c r="D16" s="1419" t="s">
        <v>432</v>
      </c>
      <c r="E16" s="698" t="s">
        <v>433</v>
      </c>
      <c r="F16" s="689">
        <f>'表１２'!L5</f>
        <v>0</v>
      </c>
      <c r="G16" s="690">
        <f>ROUND(F16/'表５'!K$31*1000,0)</f>
        <v>0</v>
      </c>
      <c r="H16" s="676">
        <f>IF(F16="－","－",ROUND(F16/'表５'!K$5*100,1))</f>
        <v>0</v>
      </c>
      <c r="I16" s="686" t="str">
        <f t="shared" si="0"/>
        <v>-</v>
      </c>
      <c r="J16" s="558"/>
      <c r="K16" s="891">
        <v>0</v>
      </c>
    </row>
    <row r="17" spans="1:11" ht="12" customHeight="1">
      <c r="A17" s="872"/>
      <c r="B17" s="693"/>
      <c r="C17" s="695"/>
      <c r="D17" s="1420"/>
      <c r="E17" s="698" t="s">
        <v>434</v>
      </c>
      <c r="F17" s="689">
        <f>'表１３'!L5</f>
        <v>0</v>
      </c>
      <c r="G17" s="690">
        <f>ROUND(F17/'表５'!L$31*1000,0)</f>
        <v>0</v>
      </c>
      <c r="H17" s="676">
        <f>IF(F17="－","－",ROUND(F17/'表５'!L$5*100,1))</f>
        <v>0</v>
      </c>
      <c r="I17" s="686" t="str">
        <f t="shared" si="0"/>
        <v>-</v>
      </c>
      <c r="J17" s="558"/>
      <c r="K17" s="891">
        <v>0</v>
      </c>
    </row>
    <row r="18" spans="1:11" ht="12" customHeight="1">
      <c r="A18" s="872"/>
      <c r="B18" s="693"/>
      <c r="C18" s="695"/>
      <c r="D18" s="1421"/>
      <c r="E18" s="698" t="s">
        <v>435</v>
      </c>
      <c r="F18" s="689">
        <f>'表１４'!L5</f>
        <v>0</v>
      </c>
      <c r="G18" s="690">
        <f>ROUND(F18/'表５'!M$31*1000,0)</f>
        <v>0</v>
      </c>
      <c r="H18" s="676">
        <f>IF(F18="－","－",ROUND(F18/'表５'!M$5*100,1))</f>
        <v>0</v>
      </c>
      <c r="I18" s="686" t="str">
        <f t="shared" si="0"/>
        <v>-</v>
      </c>
      <c r="J18" s="558"/>
      <c r="K18" s="891">
        <v>0</v>
      </c>
    </row>
    <row r="19" spans="1:11" ht="12" customHeight="1">
      <c r="A19" s="872"/>
      <c r="B19" s="693"/>
      <c r="C19" s="695"/>
      <c r="D19" s="1405" t="s">
        <v>436</v>
      </c>
      <c r="E19" s="1406"/>
      <c r="F19" s="689">
        <f>'表１５'!L5</f>
        <v>0</v>
      </c>
      <c r="G19" s="690">
        <f>ROUND(F19/'表５'!N$31*1000,0)</f>
        <v>0</v>
      </c>
      <c r="H19" s="676">
        <f>IF(F19="－","－",ROUND(F19/'表５'!N$5*100,1))</f>
        <v>0</v>
      </c>
      <c r="I19" s="686" t="str">
        <f t="shared" si="0"/>
        <v>-</v>
      </c>
      <c r="J19" s="558"/>
      <c r="K19" s="891">
        <v>0</v>
      </c>
    </row>
    <row r="20" spans="1:11" ht="12" customHeight="1">
      <c r="A20" s="872"/>
      <c r="B20" s="693"/>
      <c r="C20" s="695"/>
      <c r="D20" s="1405" t="s">
        <v>539</v>
      </c>
      <c r="E20" s="1406"/>
      <c r="F20" s="689">
        <f>'表１６'!L5</f>
        <v>0</v>
      </c>
      <c r="G20" s="690">
        <f>ROUND(F20/'表５'!O$31*1000,0)</f>
        <v>0</v>
      </c>
      <c r="H20" s="676">
        <f>IF(F20="－","－",ROUND(F20/'表５'!O$5*100,1))</f>
        <v>0</v>
      </c>
      <c r="I20" s="686" t="str">
        <f t="shared" si="0"/>
        <v>-</v>
      </c>
      <c r="J20" s="558"/>
      <c r="K20" s="891">
        <v>0</v>
      </c>
    </row>
    <row r="21" spans="1:11" ht="12" customHeight="1">
      <c r="A21" s="872"/>
      <c r="B21" s="693"/>
      <c r="C21" s="699"/>
      <c r="D21" s="1405" t="s">
        <v>450</v>
      </c>
      <c r="E21" s="1406"/>
      <c r="F21" s="689">
        <f>'表１７'!L5</f>
        <v>0</v>
      </c>
      <c r="G21" s="690">
        <f>ROUND(F21/'表５'!P$31*1000,0)</f>
        <v>0</v>
      </c>
      <c r="H21" s="676">
        <f>IF(F21="－","－",ROUND(F21/'表５'!P$5*100,1))</f>
        <v>0</v>
      </c>
      <c r="I21" s="686" t="str">
        <f t="shared" si="0"/>
        <v>-</v>
      </c>
      <c r="J21" s="558"/>
      <c r="K21" s="891">
        <v>0</v>
      </c>
    </row>
    <row r="22" spans="1:11" ht="12" customHeight="1">
      <c r="A22" s="872"/>
      <c r="B22" s="693"/>
      <c r="C22" s="1407" t="s">
        <v>451</v>
      </c>
      <c r="D22" s="1408"/>
      <c r="E22" s="1409"/>
      <c r="F22" s="687">
        <f>SUM('表１８'!J5,'表１８'!K5,'表１８'!J17,'表１８'!K17)</f>
        <v>24308</v>
      </c>
      <c r="G22" s="688">
        <f>ROUND(F22/'表５'!Q$31*1000,0)</f>
        <v>18</v>
      </c>
      <c r="H22" s="675">
        <f>IF(F22="－","－",ROUND(F22/'表５'!Q$5*100,1))</f>
        <v>0.1</v>
      </c>
      <c r="I22" s="686">
        <f t="shared" si="0"/>
        <v>-29.8</v>
      </c>
      <c r="J22" s="558"/>
      <c r="K22" s="891">
        <v>34628</v>
      </c>
    </row>
    <row r="23" spans="1:11" ht="12" customHeight="1" thickBot="1">
      <c r="A23" s="872"/>
      <c r="B23" s="707"/>
      <c r="C23" s="1402" t="s">
        <v>438</v>
      </c>
      <c r="D23" s="1403"/>
      <c r="E23" s="1404"/>
      <c r="F23" s="703">
        <f>SUM('表１８'!J16,'表１８'!J28)</f>
        <v>100</v>
      </c>
      <c r="G23" s="704">
        <f>ROUND(F23/'表５'!R$31*1000,0)</f>
        <v>0</v>
      </c>
      <c r="H23" s="705">
        <f>IF(F23="－","－",ROUND(F23/'表５'!R$5*100,1))</f>
        <v>0</v>
      </c>
      <c r="I23" s="706">
        <f t="shared" si="0"/>
        <v>-84.8</v>
      </c>
      <c r="J23" s="558"/>
      <c r="K23" s="891">
        <v>657</v>
      </c>
    </row>
    <row r="24" spans="1:10" ht="13.5" thickTop="1">
      <c r="A24" s="558"/>
      <c r="B24" s="558"/>
      <c r="C24" s="558"/>
      <c r="D24" s="558"/>
      <c r="E24" s="558"/>
      <c r="F24" s="558"/>
      <c r="G24" s="872"/>
      <c r="H24" s="558"/>
      <c r="I24" s="558"/>
      <c r="J24" s="558"/>
    </row>
  </sheetData>
  <sheetProtection/>
  <mergeCells count="17">
    <mergeCell ref="B3:E8"/>
    <mergeCell ref="F3:F8"/>
    <mergeCell ref="G3:G8"/>
    <mergeCell ref="H3:H8"/>
    <mergeCell ref="I3:I8"/>
    <mergeCell ref="D16:D18"/>
    <mergeCell ref="B9:E10"/>
    <mergeCell ref="C11:E11"/>
    <mergeCell ref="D12:E12"/>
    <mergeCell ref="D13:E13"/>
    <mergeCell ref="C23:E23"/>
    <mergeCell ref="D14:E14"/>
    <mergeCell ref="D15:E15"/>
    <mergeCell ref="D19:E19"/>
    <mergeCell ref="D20:E20"/>
    <mergeCell ref="D21:E21"/>
    <mergeCell ref="C22:E2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codeName="Sheet36">
    <tabColor rgb="FFFF0000"/>
  </sheetPr>
  <dimension ref="A1:N29"/>
  <sheetViews>
    <sheetView showGridLines="0" zoomScale="160" zoomScaleNormal="160" zoomScalePageLayoutView="0" workbookViewId="0" topLeftCell="A1">
      <selection activeCell="A1" sqref="A1"/>
    </sheetView>
  </sheetViews>
  <sheetFormatPr defaultColWidth="9.00390625" defaultRowHeight="13.5"/>
  <cols>
    <col min="2" max="3" width="1.875" style="0" customWidth="1"/>
    <col min="4" max="4" width="13.75390625" style="0" bestFit="1" customWidth="1"/>
    <col min="5" max="12" width="6.75390625" style="0" customWidth="1"/>
  </cols>
  <sheetData>
    <row r="1" spans="1:13" ht="13.5" thickBot="1">
      <c r="A1" s="558"/>
      <c r="B1" s="877" t="s">
        <v>464</v>
      </c>
      <c r="C1" s="878"/>
      <c r="D1" s="878"/>
      <c r="E1" s="878"/>
      <c r="F1" s="878"/>
      <c r="G1" s="878"/>
      <c r="H1" s="878"/>
      <c r="I1" s="878"/>
      <c r="J1" s="878"/>
      <c r="K1" s="878"/>
      <c r="L1" s="878"/>
      <c r="M1" s="558"/>
    </row>
    <row r="2" spans="1:13" ht="7.5" customHeight="1" thickTop="1">
      <c r="A2" s="558"/>
      <c r="B2" s="1449" t="s">
        <v>385</v>
      </c>
      <c r="C2" s="1450"/>
      <c r="D2" s="1450"/>
      <c r="E2" s="1347" t="s">
        <v>30</v>
      </c>
      <c r="F2" s="1347"/>
      <c r="G2" s="1347" t="s">
        <v>31</v>
      </c>
      <c r="H2" s="1347"/>
      <c r="I2" s="1347" t="s">
        <v>32</v>
      </c>
      <c r="J2" s="1347"/>
      <c r="K2" s="1426" t="s">
        <v>546</v>
      </c>
      <c r="L2" s="1427"/>
      <c r="M2" s="558"/>
    </row>
    <row r="3" spans="1:14" ht="9.75" customHeight="1">
      <c r="A3" s="872"/>
      <c r="B3" s="1451"/>
      <c r="C3" s="1452"/>
      <c r="D3" s="1452"/>
      <c r="E3" s="1362"/>
      <c r="F3" s="1362"/>
      <c r="G3" s="1362"/>
      <c r="H3" s="1362"/>
      <c r="I3" s="1362"/>
      <c r="J3" s="1362"/>
      <c r="K3" s="1428"/>
      <c r="L3" s="1429"/>
      <c r="M3" s="558"/>
      <c r="N3" s="517" t="s">
        <v>465</v>
      </c>
    </row>
    <row r="4" spans="1:13" ht="10.5" customHeight="1">
      <c r="A4" s="872"/>
      <c r="B4" s="1451"/>
      <c r="C4" s="1452"/>
      <c r="D4" s="1452"/>
      <c r="E4" s="730"/>
      <c r="F4" s="711" t="s">
        <v>377</v>
      </c>
      <c r="G4" s="731"/>
      <c r="H4" s="711" t="s">
        <v>377</v>
      </c>
      <c r="I4" s="731"/>
      <c r="J4" s="711" t="s">
        <v>377</v>
      </c>
      <c r="K4" s="731"/>
      <c r="L4" s="724" t="s">
        <v>377</v>
      </c>
      <c r="M4" s="558"/>
    </row>
    <row r="5" spans="1:13" ht="9.75" customHeight="1">
      <c r="A5" s="872"/>
      <c r="B5" s="1430" t="s">
        <v>447</v>
      </c>
      <c r="C5" s="1430"/>
      <c r="D5" s="1431"/>
      <c r="E5" s="716" t="s">
        <v>365</v>
      </c>
      <c r="F5" s="712" t="s">
        <v>366</v>
      </c>
      <c r="G5" s="716" t="s">
        <v>365</v>
      </c>
      <c r="H5" s="712" t="s">
        <v>366</v>
      </c>
      <c r="I5" s="716" t="s">
        <v>365</v>
      </c>
      <c r="J5" s="712" t="s">
        <v>366</v>
      </c>
      <c r="K5" s="716" t="s">
        <v>365</v>
      </c>
      <c r="L5" s="725" t="s">
        <v>366</v>
      </c>
      <c r="M5" s="558"/>
    </row>
    <row r="6" spans="1:13" ht="9.75" customHeight="1">
      <c r="A6" s="872"/>
      <c r="B6" s="1432"/>
      <c r="C6" s="1432"/>
      <c r="D6" s="1433"/>
      <c r="E6" s="717">
        <f>E22</f>
        <v>0</v>
      </c>
      <c r="F6" s="713" t="str">
        <f>_xlfn.IFERROR(F22,"-")</f>
        <v>-</v>
      </c>
      <c r="G6" s="717">
        <f>G22</f>
        <v>330</v>
      </c>
      <c r="H6" s="713">
        <f>_xlfn.IFERROR(H22,"-")</f>
        <v>100</v>
      </c>
      <c r="I6" s="717">
        <f>I22</f>
        <v>250</v>
      </c>
      <c r="J6" s="713">
        <f>_xlfn.IFERROR(J22,"-")</f>
        <v>100</v>
      </c>
      <c r="K6" s="717">
        <f>K22</f>
        <v>0</v>
      </c>
      <c r="L6" s="726" t="str">
        <f>_xlfn.IFERROR(L22,"-")</f>
        <v>-</v>
      </c>
      <c r="M6" s="872"/>
    </row>
    <row r="7" spans="1:13" ht="10.5" customHeight="1">
      <c r="A7" s="872"/>
      <c r="B7" s="657"/>
      <c r="C7" s="1445" t="s">
        <v>75</v>
      </c>
      <c r="D7" s="1446"/>
      <c r="E7" s="718">
        <f aca="true" t="shared" si="0" ref="E7:E13">E23</f>
        <v>0</v>
      </c>
      <c r="F7" s="714" t="str">
        <f aca="true" t="shared" si="1" ref="F7:F13">_xlfn.IFERROR(F23,"-")</f>
        <v>-</v>
      </c>
      <c r="G7" s="718">
        <f aca="true" t="shared" si="2" ref="G7:G13">G23</f>
        <v>130</v>
      </c>
      <c r="H7" s="721">
        <f aca="true" t="shared" si="3" ref="H7:H13">_xlfn.IFERROR(H23,"-")</f>
        <v>39.4</v>
      </c>
      <c r="I7" s="718">
        <f aca="true" t="shared" si="4" ref="I7:I13">I23</f>
        <v>50</v>
      </c>
      <c r="J7" s="721">
        <f aca="true" t="shared" si="5" ref="J7:J13">_xlfn.IFERROR(J23,"-")</f>
        <v>20</v>
      </c>
      <c r="K7" s="718">
        <f aca="true" t="shared" si="6" ref="K7:K13">K23</f>
        <v>0</v>
      </c>
      <c r="L7" s="727" t="str">
        <f aca="true" t="shared" si="7" ref="L7:L13">_xlfn.IFERROR(L23,"-")</f>
        <v>-</v>
      </c>
      <c r="M7" s="558"/>
    </row>
    <row r="8" spans="1:13" ht="10.5" customHeight="1">
      <c r="A8" s="872"/>
      <c r="B8" s="658"/>
      <c r="C8" s="683"/>
      <c r="D8" s="709" t="s">
        <v>544</v>
      </c>
      <c r="E8" s="719">
        <f t="shared" si="0"/>
        <v>0</v>
      </c>
      <c r="F8" s="713" t="str">
        <f t="shared" si="1"/>
        <v>-</v>
      </c>
      <c r="G8" s="719">
        <f t="shared" si="2"/>
        <v>0</v>
      </c>
      <c r="H8" s="722">
        <f t="shared" si="3"/>
        <v>0</v>
      </c>
      <c r="I8" s="719">
        <f t="shared" si="4"/>
        <v>0</v>
      </c>
      <c r="J8" s="722">
        <f t="shared" si="5"/>
        <v>0</v>
      </c>
      <c r="K8" s="719">
        <f t="shared" si="6"/>
        <v>0</v>
      </c>
      <c r="L8" s="728" t="str">
        <f t="shared" si="7"/>
        <v>-</v>
      </c>
      <c r="M8" s="558"/>
    </row>
    <row r="9" spans="1:13" ht="10.5" customHeight="1">
      <c r="A9" s="872"/>
      <c r="B9" s="658"/>
      <c r="C9" s="691"/>
      <c r="D9" s="709" t="s">
        <v>79</v>
      </c>
      <c r="E9" s="719">
        <f t="shared" si="0"/>
        <v>0</v>
      </c>
      <c r="F9" s="713" t="str">
        <f t="shared" si="1"/>
        <v>-</v>
      </c>
      <c r="G9" s="719">
        <f t="shared" si="2"/>
        <v>130</v>
      </c>
      <c r="H9" s="722">
        <f t="shared" si="3"/>
        <v>39.4</v>
      </c>
      <c r="I9" s="719">
        <f t="shared" si="4"/>
        <v>50</v>
      </c>
      <c r="J9" s="722">
        <f t="shared" si="5"/>
        <v>20</v>
      </c>
      <c r="K9" s="719">
        <f t="shared" si="6"/>
        <v>0</v>
      </c>
      <c r="L9" s="728" t="str">
        <f t="shared" si="7"/>
        <v>-</v>
      </c>
      <c r="M9" s="558"/>
    </row>
    <row r="10" spans="1:13" ht="10.5" customHeight="1">
      <c r="A10" s="872"/>
      <c r="B10" s="658"/>
      <c r="C10" s="691"/>
      <c r="D10" s="709" t="s">
        <v>545</v>
      </c>
      <c r="E10" s="719">
        <f t="shared" si="0"/>
        <v>0</v>
      </c>
      <c r="F10" s="713" t="str">
        <f t="shared" si="1"/>
        <v>-</v>
      </c>
      <c r="G10" s="719">
        <f t="shared" si="2"/>
        <v>0</v>
      </c>
      <c r="H10" s="722">
        <f t="shared" si="3"/>
        <v>0</v>
      </c>
      <c r="I10" s="719">
        <f t="shared" si="4"/>
        <v>0</v>
      </c>
      <c r="J10" s="722">
        <f t="shared" si="5"/>
        <v>0</v>
      </c>
      <c r="K10" s="719">
        <f t="shared" si="6"/>
        <v>0</v>
      </c>
      <c r="L10" s="728" t="str">
        <f t="shared" si="7"/>
        <v>-</v>
      </c>
      <c r="M10" s="558"/>
    </row>
    <row r="11" spans="1:13" ht="10.5" customHeight="1">
      <c r="A11" s="872"/>
      <c r="B11" s="658"/>
      <c r="C11" s="691"/>
      <c r="D11" s="709" t="s">
        <v>81</v>
      </c>
      <c r="E11" s="719">
        <f t="shared" si="0"/>
        <v>0</v>
      </c>
      <c r="F11" s="713" t="str">
        <f t="shared" si="1"/>
        <v>-</v>
      </c>
      <c r="G11" s="719">
        <f t="shared" si="2"/>
        <v>0</v>
      </c>
      <c r="H11" s="722">
        <f t="shared" si="3"/>
        <v>0</v>
      </c>
      <c r="I11" s="719">
        <f t="shared" si="4"/>
        <v>0</v>
      </c>
      <c r="J11" s="722">
        <f t="shared" si="5"/>
        <v>0</v>
      </c>
      <c r="K11" s="719">
        <f t="shared" si="6"/>
        <v>0</v>
      </c>
      <c r="L11" s="728" t="str">
        <f t="shared" si="7"/>
        <v>-</v>
      </c>
      <c r="M11" s="558"/>
    </row>
    <row r="12" spans="1:13" ht="10.5" customHeight="1">
      <c r="A12" s="872"/>
      <c r="B12" s="658"/>
      <c r="C12" s="673"/>
      <c r="D12" s="710" t="s">
        <v>82</v>
      </c>
      <c r="E12" s="719">
        <f t="shared" si="0"/>
        <v>0</v>
      </c>
      <c r="F12" s="713" t="str">
        <f t="shared" si="1"/>
        <v>-</v>
      </c>
      <c r="G12" s="719">
        <f t="shared" si="2"/>
        <v>0</v>
      </c>
      <c r="H12" s="722">
        <f t="shared" si="3"/>
        <v>0</v>
      </c>
      <c r="I12" s="719">
        <f t="shared" si="4"/>
        <v>0</v>
      </c>
      <c r="J12" s="722">
        <f t="shared" si="5"/>
        <v>0</v>
      </c>
      <c r="K12" s="719">
        <f t="shared" si="6"/>
        <v>0</v>
      </c>
      <c r="L12" s="728" t="str">
        <f t="shared" si="7"/>
        <v>-</v>
      </c>
      <c r="M12" s="558"/>
    </row>
    <row r="13" spans="1:13" ht="10.5" customHeight="1" thickBot="1">
      <c r="A13" s="872"/>
      <c r="B13" s="708"/>
      <c r="C13" s="1447" t="s">
        <v>83</v>
      </c>
      <c r="D13" s="1448"/>
      <c r="E13" s="720">
        <f t="shared" si="0"/>
        <v>0</v>
      </c>
      <c r="F13" s="715" t="str">
        <f t="shared" si="1"/>
        <v>-</v>
      </c>
      <c r="G13" s="720">
        <f t="shared" si="2"/>
        <v>200</v>
      </c>
      <c r="H13" s="723">
        <f t="shared" si="3"/>
        <v>60.6</v>
      </c>
      <c r="I13" s="720">
        <f t="shared" si="4"/>
        <v>200</v>
      </c>
      <c r="J13" s="723">
        <f t="shared" si="5"/>
        <v>80</v>
      </c>
      <c r="K13" s="720">
        <f t="shared" si="6"/>
        <v>0</v>
      </c>
      <c r="L13" s="729" t="str">
        <f t="shared" si="7"/>
        <v>-</v>
      </c>
      <c r="M13" s="558"/>
    </row>
    <row r="14" spans="1:13" ht="13.5" thickTop="1">
      <c r="A14" s="558"/>
      <c r="B14" s="872"/>
      <c r="C14" s="872"/>
      <c r="D14" s="872"/>
      <c r="E14" s="907"/>
      <c r="F14" s="908"/>
      <c r="G14" s="907"/>
      <c r="H14" s="908"/>
      <c r="I14" s="907"/>
      <c r="J14" s="908"/>
      <c r="K14" s="907"/>
      <c r="L14" s="908"/>
      <c r="M14" s="558"/>
    </row>
    <row r="15" spans="2:13" ht="12.75">
      <c r="B15" s="559"/>
      <c r="C15" s="559"/>
      <c r="D15" s="559"/>
      <c r="E15" s="572"/>
      <c r="F15" s="573"/>
      <c r="G15" s="572"/>
      <c r="H15" s="573"/>
      <c r="I15" s="572"/>
      <c r="J15" s="573"/>
      <c r="K15" s="572"/>
      <c r="L15" s="573"/>
      <c r="M15" s="509"/>
    </row>
    <row r="16" spans="2:13" ht="12.75">
      <c r="B16" s="559"/>
      <c r="C16" s="559"/>
      <c r="D16" s="559"/>
      <c r="E16" s="572"/>
      <c r="F16" s="573"/>
      <c r="G16" s="572"/>
      <c r="H16" s="573"/>
      <c r="I16" s="572"/>
      <c r="J16" s="573"/>
      <c r="K16" s="572"/>
      <c r="L16" s="573"/>
      <c r="M16" s="509"/>
    </row>
    <row r="17" ht="13.5" thickBot="1"/>
    <row r="18" spans="2:12" ht="12.75">
      <c r="B18" s="1434" t="s">
        <v>385</v>
      </c>
      <c r="C18" s="1435"/>
      <c r="D18" s="1435"/>
      <c r="E18" s="1438" t="s">
        <v>30</v>
      </c>
      <c r="F18" s="1439"/>
      <c r="G18" s="1438" t="s">
        <v>31</v>
      </c>
      <c r="H18" s="1439"/>
      <c r="I18" s="1438" t="s">
        <v>32</v>
      </c>
      <c r="J18" s="1439"/>
      <c r="K18" s="1438" t="s">
        <v>33</v>
      </c>
      <c r="L18" s="1442"/>
    </row>
    <row r="19" spans="2:14" ht="12.75">
      <c r="B19" s="1436"/>
      <c r="C19" s="1437"/>
      <c r="D19" s="1437"/>
      <c r="E19" s="1440"/>
      <c r="F19" s="1441"/>
      <c r="G19" s="1440"/>
      <c r="H19" s="1441"/>
      <c r="I19" s="1440"/>
      <c r="J19" s="1441"/>
      <c r="K19" s="1443" t="s">
        <v>34</v>
      </c>
      <c r="L19" s="1444"/>
      <c r="N19" s="517" t="s">
        <v>466</v>
      </c>
    </row>
    <row r="20" spans="2:12" ht="12.75">
      <c r="B20" s="1436"/>
      <c r="C20" s="1437"/>
      <c r="D20" s="1437"/>
      <c r="E20" s="561"/>
      <c r="F20" s="498" t="s">
        <v>377</v>
      </c>
      <c r="G20" s="510"/>
      <c r="H20" s="498" t="s">
        <v>377</v>
      </c>
      <c r="I20" s="510"/>
      <c r="J20" s="498" t="s">
        <v>377</v>
      </c>
      <c r="K20" s="510"/>
      <c r="L20" s="565" t="s">
        <v>377</v>
      </c>
    </row>
    <row r="21" spans="2:12" ht="12.75">
      <c r="B21" s="566"/>
      <c r="C21" s="567"/>
      <c r="D21" s="567"/>
      <c r="E21" s="568" t="s">
        <v>365</v>
      </c>
      <c r="F21" s="569" t="s">
        <v>366</v>
      </c>
      <c r="G21" s="569" t="s">
        <v>365</v>
      </c>
      <c r="H21" s="569" t="s">
        <v>366</v>
      </c>
      <c r="I21" s="569" t="s">
        <v>365</v>
      </c>
      <c r="J21" s="569" t="s">
        <v>366</v>
      </c>
      <c r="K21" s="569" t="s">
        <v>365</v>
      </c>
      <c r="L21" s="570" t="s">
        <v>366</v>
      </c>
    </row>
    <row r="22" spans="2:12" ht="12.75">
      <c r="B22" s="555" t="s">
        <v>447</v>
      </c>
      <c r="C22" s="516"/>
      <c r="D22" s="516"/>
      <c r="E22" s="572">
        <f>SUM(E23,E29)</f>
        <v>0</v>
      </c>
      <c r="F22" s="580" t="e">
        <f>F23+F29</f>
        <v>#DIV/0!</v>
      </c>
      <c r="G22" s="572">
        <f>SUM(G23,G29)</f>
        <v>330</v>
      </c>
      <c r="H22" s="580">
        <f>+H23+H29</f>
        <v>100</v>
      </c>
      <c r="I22" s="572">
        <f>SUM(I23,I29)</f>
        <v>250</v>
      </c>
      <c r="J22" s="580">
        <f>+J23+J29</f>
        <v>100</v>
      </c>
      <c r="K22" s="572">
        <f>SUM(K23,K29)</f>
        <v>0</v>
      </c>
      <c r="L22" s="581" t="e">
        <f>+L23+L29</f>
        <v>#DIV/0!</v>
      </c>
    </row>
    <row r="23" spans="2:12" ht="12.75">
      <c r="B23" s="531"/>
      <c r="C23" s="518" t="s">
        <v>75</v>
      </c>
      <c r="D23" s="518"/>
      <c r="E23" s="574">
        <f aca="true" t="shared" si="8" ref="E23:L23">SUM(E24:E28)</f>
        <v>0</v>
      </c>
      <c r="F23" s="571" t="e">
        <f t="shared" si="8"/>
        <v>#DIV/0!</v>
      </c>
      <c r="G23" s="574">
        <f t="shared" si="8"/>
        <v>130</v>
      </c>
      <c r="H23" s="571">
        <f t="shared" si="8"/>
        <v>39.4</v>
      </c>
      <c r="I23" s="574">
        <f t="shared" si="8"/>
        <v>50</v>
      </c>
      <c r="J23" s="571">
        <f t="shared" si="8"/>
        <v>20</v>
      </c>
      <c r="K23" s="574">
        <f t="shared" si="8"/>
        <v>0</v>
      </c>
      <c r="L23" s="582" t="e">
        <f t="shared" si="8"/>
        <v>#DIV/0!</v>
      </c>
    </row>
    <row r="24" spans="2:12" ht="12.75">
      <c r="B24" s="532"/>
      <c r="C24" s="499"/>
      <c r="D24" s="518" t="s">
        <v>76</v>
      </c>
      <c r="E24" s="574">
        <f>'表８'!L7</f>
        <v>0</v>
      </c>
      <c r="F24" s="583" t="e">
        <f aca="true" t="shared" si="9" ref="F24:F29">ROUND(E24/$E$22*100,1)</f>
        <v>#DIV/0!</v>
      </c>
      <c r="G24" s="584">
        <f>'表９'!L7</f>
        <v>0</v>
      </c>
      <c r="H24" s="583">
        <f aca="true" t="shared" si="10" ref="H24:H29">ROUND(G24/$G$22*100,1)</f>
        <v>0</v>
      </c>
      <c r="I24" s="584">
        <f>'表１０'!L7</f>
        <v>0</v>
      </c>
      <c r="J24" s="583">
        <f aca="true" t="shared" si="11" ref="J24:J29">ROUND(I24/$I$22*100,1)</f>
        <v>0</v>
      </c>
      <c r="K24" s="584">
        <f>'表１２'!L7</f>
        <v>0</v>
      </c>
      <c r="L24" s="585" t="e">
        <f aca="true" t="shared" si="12" ref="L24:L29">ROUND(K24/K22*100,1)</f>
        <v>#DIV/0!</v>
      </c>
    </row>
    <row r="25" spans="2:12" ht="12.75">
      <c r="B25" s="532"/>
      <c r="C25" s="500"/>
      <c r="D25" s="518" t="s">
        <v>79</v>
      </c>
      <c r="E25" s="574">
        <f>'表８'!L10</f>
        <v>0</v>
      </c>
      <c r="F25" s="583" t="e">
        <f t="shared" si="9"/>
        <v>#DIV/0!</v>
      </c>
      <c r="G25" s="584">
        <f>'表９'!L10</f>
        <v>130</v>
      </c>
      <c r="H25" s="583">
        <f t="shared" si="10"/>
        <v>39.4</v>
      </c>
      <c r="I25" s="584">
        <f>'表１０'!L10</f>
        <v>50</v>
      </c>
      <c r="J25" s="583">
        <f t="shared" si="11"/>
        <v>20</v>
      </c>
      <c r="K25" s="584">
        <f>'表１２'!L10</f>
        <v>0</v>
      </c>
      <c r="L25" s="585" t="e">
        <f t="shared" si="12"/>
        <v>#DIV/0!</v>
      </c>
    </row>
    <row r="26" spans="2:12" ht="12.75">
      <c r="B26" s="532"/>
      <c r="C26" s="500"/>
      <c r="D26" s="518" t="s">
        <v>80</v>
      </c>
      <c r="E26" s="574">
        <f>'表８'!L11</f>
        <v>0</v>
      </c>
      <c r="F26" s="583" t="e">
        <f t="shared" si="9"/>
        <v>#DIV/0!</v>
      </c>
      <c r="G26" s="584">
        <f>'表９'!L11</f>
        <v>0</v>
      </c>
      <c r="H26" s="583">
        <f t="shared" si="10"/>
        <v>0</v>
      </c>
      <c r="I26" s="584">
        <f>'表１０'!L11</f>
        <v>0</v>
      </c>
      <c r="J26" s="583">
        <f t="shared" si="11"/>
        <v>0</v>
      </c>
      <c r="K26" s="584">
        <f>'表１２'!L11</f>
        <v>0</v>
      </c>
      <c r="L26" s="585" t="e">
        <f t="shared" si="12"/>
        <v>#DIV/0!</v>
      </c>
    </row>
    <row r="27" spans="2:12" ht="12.75">
      <c r="B27" s="532"/>
      <c r="C27" s="500"/>
      <c r="D27" s="518" t="s">
        <v>81</v>
      </c>
      <c r="E27" s="574">
        <f>'表８'!L12</f>
        <v>0</v>
      </c>
      <c r="F27" s="583" t="e">
        <f t="shared" si="9"/>
        <v>#DIV/0!</v>
      </c>
      <c r="G27" s="584">
        <f>'表９'!L12</f>
        <v>0</v>
      </c>
      <c r="H27" s="583">
        <f t="shared" si="10"/>
        <v>0</v>
      </c>
      <c r="I27" s="584">
        <f>'表１０'!L12</f>
        <v>0</v>
      </c>
      <c r="J27" s="583">
        <f t="shared" si="11"/>
        <v>0</v>
      </c>
      <c r="K27" s="584">
        <f>'表１２'!L12</f>
        <v>0</v>
      </c>
      <c r="L27" s="585" t="e">
        <f t="shared" si="12"/>
        <v>#DIV/0!</v>
      </c>
    </row>
    <row r="28" spans="2:12" ht="12.75">
      <c r="B28" s="532"/>
      <c r="C28" s="516"/>
      <c r="D28" s="518" t="s">
        <v>82</v>
      </c>
      <c r="E28" s="574">
        <f>'表８'!L13</f>
        <v>0</v>
      </c>
      <c r="F28" s="583" t="e">
        <f t="shared" si="9"/>
        <v>#DIV/0!</v>
      </c>
      <c r="G28" s="584">
        <f>'表９'!L13</f>
        <v>0</v>
      </c>
      <c r="H28" s="583">
        <f t="shared" si="10"/>
        <v>0</v>
      </c>
      <c r="I28" s="584">
        <f>'表１０'!L13</f>
        <v>0</v>
      </c>
      <c r="J28" s="583">
        <f t="shared" si="11"/>
        <v>0</v>
      </c>
      <c r="K28" s="584">
        <f>'表１２'!L13</f>
        <v>0</v>
      </c>
      <c r="L28" s="585" t="e">
        <f t="shared" si="12"/>
        <v>#DIV/0!</v>
      </c>
    </row>
    <row r="29" spans="2:12" ht="13.5" thickBot="1">
      <c r="B29" s="533"/>
      <c r="C29" s="560" t="s">
        <v>83</v>
      </c>
      <c r="D29" s="560"/>
      <c r="E29" s="575">
        <f>'表８'!L14</f>
        <v>0</v>
      </c>
      <c r="F29" s="586" t="e">
        <f t="shared" si="9"/>
        <v>#DIV/0!</v>
      </c>
      <c r="G29" s="587">
        <f>'表９'!L14</f>
        <v>200</v>
      </c>
      <c r="H29" s="586">
        <f t="shared" si="10"/>
        <v>60.6</v>
      </c>
      <c r="I29" s="587">
        <f>'表１０'!L14</f>
        <v>200</v>
      </c>
      <c r="J29" s="586">
        <f t="shared" si="11"/>
        <v>80</v>
      </c>
      <c r="K29" s="587">
        <f>'表１２'!L14</f>
        <v>0</v>
      </c>
      <c r="L29" s="588" t="e">
        <f t="shared" si="12"/>
        <v>#DIV/0!</v>
      </c>
    </row>
  </sheetData>
  <sheetProtection/>
  <mergeCells count="14">
    <mergeCell ref="B2:D4"/>
    <mergeCell ref="E2:F3"/>
    <mergeCell ref="G2:H3"/>
    <mergeCell ref="I2:J3"/>
    <mergeCell ref="K2:L3"/>
    <mergeCell ref="B5:D6"/>
    <mergeCell ref="B18:D20"/>
    <mergeCell ref="E18:F19"/>
    <mergeCell ref="G18:H19"/>
    <mergeCell ref="I18:J19"/>
    <mergeCell ref="K18:L18"/>
    <mergeCell ref="K19:L19"/>
    <mergeCell ref="C7:D7"/>
    <mergeCell ref="C13:D13"/>
  </mergeCells>
  <printOptions/>
  <pageMargins left="0.7" right="0.7" top="0.75" bottom="0.75" header="0.3" footer="0.3"/>
  <pageSetup orientation="portrait" paperSize="9"/>
  <ignoredErrors>
    <ignoredError sqref="F6:F13 G6:G7 G8:G13 I6:I13 K6:K13 H6:H13 J6:J13" formula="1"/>
  </ignoredErrors>
</worksheet>
</file>

<file path=xl/worksheets/sheet37.xml><?xml version="1.0" encoding="utf-8"?>
<worksheet xmlns="http://schemas.openxmlformats.org/spreadsheetml/2006/main" xmlns:r="http://schemas.openxmlformats.org/officeDocument/2006/relationships">
  <sheetPr codeName="Sheet37">
    <tabColor rgb="FFFF0000"/>
  </sheetPr>
  <dimension ref="A1:J23"/>
  <sheetViews>
    <sheetView showGridLines="0" zoomScalePageLayoutView="0" workbookViewId="0" topLeftCell="A1">
      <selection activeCell="A1" sqref="A1"/>
    </sheetView>
  </sheetViews>
  <sheetFormatPr defaultColWidth="9.00390625" defaultRowHeight="13.5"/>
  <cols>
    <col min="2" max="3" width="2.25390625" style="0" customWidth="1"/>
    <col min="4" max="4" width="3.00390625" style="0" customWidth="1"/>
    <col min="5" max="5" width="11.00390625" style="0" bestFit="1" customWidth="1"/>
    <col min="6" max="6" width="10.625" style="0" customWidth="1"/>
    <col min="7" max="7" width="10.00390625" style="0" customWidth="1"/>
    <col min="8" max="8" width="13.125" style="0" bestFit="1" customWidth="1"/>
    <col min="9" max="9" width="10.00390625" style="0" customWidth="1"/>
  </cols>
  <sheetData>
    <row r="1" spans="1:10" ht="13.5" thickBot="1">
      <c r="A1" s="558"/>
      <c r="B1" s="877" t="s">
        <v>473</v>
      </c>
      <c r="C1" s="878"/>
      <c r="D1" s="878"/>
      <c r="E1" s="878"/>
      <c r="F1" s="878"/>
      <c r="G1" s="878"/>
      <c r="H1" s="878"/>
      <c r="I1" s="878"/>
      <c r="J1" s="558"/>
    </row>
    <row r="2" spans="1:10" ht="13.5" thickTop="1">
      <c r="A2" s="872"/>
      <c r="B2" s="1466" t="s">
        <v>467</v>
      </c>
      <c r="C2" s="1466"/>
      <c r="D2" s="1466"/>
      <c r="E2" s="1467"/>
      <c r="F2" s="1464" t="s">
        <v>468</v>
      </c>
      <c r="G2" s="1465"/>
      <c r="H2" s="1469" t="s">
        <v>551</v>
      </c>
      <c r="I2" s="790" t="s">
        <v>554</v>
      </c>
      <c r="J2" s="558"/>
    </row>
    <row r="3" spans="1:10" ht="12.75">
      <c r="A3" s="872"/>
      <c r="B3" s="1468"/>
      <c r="C3" s="1468"/>
      <c r="D3" s="1468"/>
      <c r="E3" s="1465"/>
      <c r="F3" s="643" t="s">
        <v>552</v>
      </c>
      <c r="G3" s="643" t="s">
        <v>458</v>
      </c>
      <c r="H3" s="1470"/>
      <c r="I3" s="642" t="s">
        <v>553</v>
      </c>
      <c r="J3" s="558"/>
    </row>
    <row r="4" spans="1:10" ht="12.75">
      <c r="A4" s="872"/>
      <c r="B4" s="1471" t="s">
        <v>469</v>
      </c>
      <c r="C4" s="1471"/>
      <c r="D4" s="1471"/>
      <c r="E4" s="1472"/>
      <c r="F4" s="644" t="s">
        <v>448</v>
      </c>
      <c r="G4" s="644" t="s">
        <v>452</v>
      </c>
      <c r="H4" s="644" t="s">
        <v>448</v>
      </c>
      <c r="I4" s="608" t="s">
        <v>452</v>
      </c>
      <c r="J4" s="558"/>
    </row>
    <row r="5" spans="1:10" ht="12.75">
      <c r="A5" s="872"/>
      <c r="B5" s="1473"/>
      <c r="C5" s="1474"/>
      <c r="D5" s="1474"/>
      <c r="E5" s="1475"/>
      <c r="F5" s="645">
        <f>SUM(F6,F17,F18)</f>
        <v>4387409</v>
      </c>
      <c r="G5" s="646">
        <f>ROUND(F5/$F$5*100,1)</f>
        <v>100</v>
      </c>
      <c r="H5" s="645">
        <f>'表２'!J3</f>
        <v>184853627</v>
      </c>
      <c r="I5" s="647">
        <f>F5/H5*100</f>
        <v>2.3734503191544087</v>
      </c>
      <c r="J5" s="558"/>
    </row>
    <row r="6" spans="1:10" ht="12.75">
      <c r="A6" s="558"/>
      <c r="B6" s="648"/>
      <c r="C6" s="1453" t="s">
        <v>470</v>
      </c>
      <c r="D6" s="1478"/>
      <c r="E6" s="1479"/>
      <c r="F6" s="649">
        <f>SUM(F7:F16)</f>
        <v>3331974</v>
      </c>
      <c r="G6" s="650">
        <f aca="true" t="shared" si="0" ref="G6:G18">ROUND(F6/$F$5*100,1)</f>
        <v>75.9</v>
      </c>
      <c r="H6" s="649">
        <f>'表２'!J4</f>
        <v>155155034</v>
      </c>
      <c r="I6" s="651">
        <f aca="true" t="shared" si="1" ref="I6:I18">F6/H6*100</f>
        <v>2.147512661432564</v>
      </c>
      <c r="J6" s="558"/>
    </row>
    <row r="7" spans="1:10" ht="12.75">
      <c r="A7" s="558"/>
      <c r="B7" s="652"/>
      <c r="C7" s="648"/>
      <c r="D7" s="1459" t="s">
        <v>428</v>
      </c>
      <c r="E7" s="1455"/>
      <c r="F7" s="653">
        <f>'表２０'!K21</f>
        <v>9139</v>
      </c>
      <c r="G7" s="654">
        <f t="shared" si="0"/>
        <v>0.2</v>
      </c>
      <c r="H7" s="655">
        <f>'表２'!J5</f>
        <v>1644298</v>
      </c>
      <c r="I7" s="656">
        <f t="shared" si="1"/>
        <v>0.5557994961983777</v>
      </c>
      <c r="J7" s="558"/>
    </row>
    <row r="8" spans="1:10" ht="12.75">
      <c r="A8" s="558"/>
      <c r="B8" s="652"/>
      <c r="C8" s="652"/>
      <c r="D8" s="1459" t="s">
        <v>429</v>
      </c>
      <c r="E8" s="1455"/>
      <c r="F8" s="653">
        <f>'表２０'!K22</f>
        <v>61284</v>
      </c>
      <c r="G8" s="654">
        <f t="shared" si="0"/>
        <v>1.4</v>
      </c>
      <c r="H8" s="655">
        <f>'表２'!J6</f>
        <v>68862366</v>
      </c>
      <c r="I8" s="656">
        <f t="shared" si="1"/>
        <v>0.08899490906252044</v>
      </c>
      <c r="J8" s="558"/>
    </row>
    <row r="9" spans="1:10" ht="12.75">
      <c r="A9" s="558"/>
      <c r="B9" s="652"/>
      <c r="C9" s="652"/>
      <c r="D9" s="1459" t="s">
        <v>430</v>
      </c>
      <c r="E9" s="1455"/>
      <c r="F9" s="653">
        <f>'表２０'!K23</f>
        <v>35186</v>
      </c>
      <c r="G9" s="654">
        <f t="shared" si="0"/>
        <v>0.8</v>
      </c>
      <c r="H9" s="655">
        <f>'表２'!J7</f>
        <v>38922117</v>
      </c>
      <c r="I9" s="656">
        <f t="shared" si="1"/>
        <v>0.09040104370479128</v>
      </c>
      <c r="J9" s="558"/>
    </row>
    <row r="10" spans="1:10" ht="12.75">
      <c r="A10" s="558"/>
      <c r="B10" s="652"/>
      <c r="C10" s="652"/>
      <c r="D10" s="1459" t="s">
        <v>431</v>
      </c>
      <c r="E10" s="1455"/>
      <c r="F10" s="653">
        <f>'表２０'!K9</f>
        <v>837</v>
      </c>
      <c r="G10" s="654">
        <f t="shared" si="0"/>
        <v>0</v>
      </c>
      <c r="H10" s="655">
        <f>'表２'!J8</f>
        <v>9820800</v>
      </c>
      <c r="I10" s="656">
        <f t="shared" si="1"/>
        <v>0.008522727272727274</v>
      </c>
      <c r="J10" s="558"/>
    </row>
    <row r="11" spans="1:10" ht="12.75">
      <c r="A11" s="558"/>
      <c r="B11" s="652"/>
      <c r="C11" s="652"/>
      <c r="D11" s="1461" t="s">
        <v>432</v>
      </c>
      <c r="E11" s="827" t="s">
        <v>433</v>
      </c>
      <c r="F11" s="653">
        <f>'表２０'!K10</f>
        <v>2979391</v>
      </c>
      <c r="G11" s="654">
        <f t="shared" si="0"/>
        <v>67.9</v>
      </c>
      <c r="H11" s="655">
        <f>'表２'!J9</f>
        <v>31278749</v>
      </c>
      <c r="I11" s="656">
        <f t="shared" si="1"/>
        <v>9.525288239628765</v>
      </c>
      <c r="J11" s="558"/>
    </row>
    <row r="12" spans="1:10" ht="12.75">
      <c r="A12" s="558"/>
      <c r="B12" s="652"/>
      <c r="C12" s="652"/>
      <c r="D12" s="1462"/>
      <c r="E12" s="827" t="s">
        <v>434</v>
      </c>
      <c r="F12" s="653">
        <f>'表２０'!K11</f>
        <v>11828</v>
      </c>
      <c r="G12" s="654">
        <f t="shared" si="0"/>
        <v>0.3</v>
      </c>
      <c r="H12" s="655">
        <f>'表２'!J10</f>
        <v>896539</v>
      </c>
      <c r="I12" s="656">
        <f t="shared" si="1"/>
        <v>1.3192956469266814</v>
      </c>
      <c r="J12" s="558"/>
    </row>
    <row r="13" spans="1:10" ht="12.75">
      <c r="A13" s="558"/>
      <c r="B13" s="652"/>
      <c r="C13" s="652"/>
      <c r="D13" s="1463"/>
      <c r="E13" s="827" t="s">
        <v>435</v>
      </c>
      <c r="F13" s="653">
        <f>'表２０'!K12</f>
        <v>3692</v>
      </c>
      <c r="G13" s="654">
        <f t="shared" si="0"/>
        <v>0.1</v>
      </c>
      <c r="H13" s="655">
        <f>'表２'!J11</f>
        <v>177018</v>
      </c>
      <c r="I13" s="656">
        <f t="shared" si="1"/>
        <v>2.085663604831147</v>
      </c>
      <c r="J13" s="558"/>
    </row>
    <row r="14" spans="1:10" ht="12.75">
      <c r="A14" s="558"/>
      <c r="B14" s="652"/>
      <c r="C14" s="652"/>
      <c r="D14" s="1459" t="s">
        <v>436</v>
      </c>
      <c r="E14" s="1455"/>
      <c r="F14" s="653">
        <f>'表２０'!K14</f>
        <v>159864</v>
      </c>
      <c r="G14" s="654">
        <f t="shared" si="0"/>
        <v>3.6</v>
      </c>
      <c r="H14" s="655">
        <f>'表２'!J13</f>
        <v>2236940</v>
      </c>
      <c r="I14" s="656">
        <f t="shared" si="1"/>
        <v>7.1465484098813565</v>
      </c>
      <c r="J14" s="558"/>
    </row>
    <row r="15" spans="1:10" ht="12.75">
      <c r="A15" s="558"/>
      <c r="B15" s="652"/>
      <c r="C15" s="652"/>
      <c r="D15" s="1459" t="s">
        <v>437</v>
      </c>
      <c r="E15" s="1455"/>
      <c r="F15" s="653">
        <f>'表２０'!K15</f>
        <v>16288</v>
      </c>
      <c r="G15" s="654">
        <f t="shared" si="0"/>
        <v>0.4</v>
      </c>
      <c r="H15" s="653">
        <f>'表２'!J14</f>
        <v>246601</v>
      </c>
      <c r="I15" s="656">
        <f t="shared" si="1"/>
        <v>6.6050016017777695</v>
      </c>
      <c r="J15" s="558"/>
    </row>
    <row r="16" spans="1:10" ht="12.75">
      <c r="A16" s="558"/>
      <c r="B16" s="652"/>
      <c r="C16" s="652"/>
      <c r="D16" s="1459" t="s">
        <v>450</v>
      </c>
      <c r="E16" s="1455"/>
      <c r="F16" s="653">
        <f>'表２０'!K31</f>
        <v>54465</v>
      </c>
      <c r="G16" s="654">
        <f t="shared" si="0"/>
        <v>1.2</v>
      </c>
      <c r="H16" s="653">
        <f>'表２'!J15</f>
        <v>1069606</v>
      </c>
      <c r="I16" s="656">
        <f t="shared" si="1"/>
        <v>5.092061936825336</v>
      </c>
      <c r="J16" s="558"/>
    </row>
    <row r="17" spans="1:10" ht="12.75">
      <c r="A17" s="558"/>
      <c r="B17" s="652"/>
      <c r="C17" s="1453" t="s">
        <v>471</v>
      </c>
      <c r="D17" s="1454"/>
      <c r="E17" s="1455"/>
      <c r="F17" s="649">
        <f>'表２０'!K18+'表２０'!K33</f>
        <v>569071</v>
      </c>
      <c r="G17" s="650">
        <f t="shared" si="0"/>
        <v>13</v>
      </c>
      <c r="H17" s="649">
        <f>'表２'!J16</f>
        <v>17731350</v>
      </c>
      <c r="I17" s="651">
        <f t="shared" si="1"/>
        <v>3.209405939198087</v>
      </c>
      <c r="J17" s="558"/>
    </row>
    <row r="18" spans="1:10" ht="13.5" thickBot="1">
      <c r="A18" s="558"/>
      <c r="B18" s="732"/>
      <c r="C18" s="1456" t="s">
        <v>472</v>
      </c>
      <c r="D18" s="1457"/>
      <c r="E18" s="1458"/>
      <c r="F18" s="733">
        <f>'表２０'!K19+'表２０'!K34</f>
        <v>486364</v>
      </c>
      <c r="G18" s="734">
        <f t="shared" si="0"/>
        <v>11.1</v>
      </c>
      <c r="H18" s="733">
        <f>'表２'!J17</f>
        <v>11967243</v>
      </c>
      <c r="I18" s="735">
        <f t="shared" si="1"/>
        <v>4.064127385062708</v>
      </c>
      <c r="J18" s="558"/>
    </row>
    <row r="19" spans="1:10" ht="13.5" thickTop="1">
      <c r="A19" s="558"/>
      <c r="B19" s="1477" t="s">
        <v>548</v>
      </c>
      <c r="C19" s="1477"/>
      <c r="D19" s="736" t="s">
        <v>549</v>
      </c>
      <c r="E19" s="736"/>
      <c r="F19" s="736"/>
      <c r="G19" s="736"/>
      <c r="H19" s="736"/>
      <c r="I19" s="736"/>
      <c r="J19" s="906"/>
    </row>
    <row r="20" spans="1:10" ht="13.5" customHeight="1">
      <c r="A20" s="558"/>
      <c r="B20" s="1460" t="s">
        <v>547</v>
      </c>
      <c r="C20" s="1460"/>
      <c r="D20" s="1476" t="s">
        <v>550</v>
      </c>
      <c r="E20" s="1476"/>
      <c r="F20" s="1476"/>
      <c r="G20" s="1476"/>
      <c r="H20" s="1476"/>
      <c r="I20" s="1476"/>
      <c r="J20" s="558"/>
    </row>
    <row r="21" spans="1:10" ht="12.75">
      <c r="A21" s="558"/>
      <c r="B21" s="737"/>
      <c r="C21" s="602"/>
      <c r="D21" s="1476"/>
      <c r="E21" s="1476"/>
      <c r="F21" s="1476"/>
      <c r="G21" s="1476"/>
      <c r="H21" s="1476"/>
      <c r="I21" s="1476"/>
      <c r="J21" s="558"/>
    </row>
    <row r="22" spans="1:10" ht="12.75">
      <c r="A22" s="558"/>
      <c r="B22" s="558"/>
      <c r="C22" s="558"/>
      <c r="D22" s="909"/>
      <c r="E22" s="558"/>
      <c r="F22" s="558"/>
      <c r="G22" s="558"/>
      <c r="H22" s="558"/>
      <c r="I22" s="558"/>
      <c r="J22" s="558"/>
    </row>
    <row r="23" spans="1:10" ht="12.75">
      <c r="A23" s="558"/>
      <c r="B23" s="558"/>
      <c r="C23" s="558"/>
      <c r="D23" s="558"/>
      <c r="E23" s="558"/>
      <c r="F23" s="558"/>
      <c r="G23" s="558"/>
      <c r="H23" s="558"/>
      <c r="I23" s="558"/>
      <c r="J23" s="558"/>
    </row>
  </sheetData>
  <sheetProtection/>
  <mergeCells count="18">
    <mergeCell ref="B20:C20"/>
    <mergeCell ref="D11:D13"/>
    <mergeCell ref="F2:G2"/>
    <mergeCell ref="B2:E3"/>
    <mergeCell ref="H2:H3"/>
    <mergeCell ref="B4:E5"/>
    <mergeCell ref="D20:I21"/>
    <mergeCell ref="B19:C19"/>
    <mergeCell ref="C6:E6"/>
    <mergeCell ref="D7:E7"/>
    <mergeCell ref="C17:E17"/>
    <mergeCell ref="C18:E18"/>
    <mergeCell ref="D8:E8"/>
    <mergeCell ref="D9:E9"/>
    <mergeCell ref="D10:E10"/>
    <mergeCell ref="D14:E14"/>
    <mergeCell ref="D15:E15"/>
    <mergeCell ref="D16:E16"/>
  </mergeCells>
  <printOptions/>
  <pageMargins left="0.7" right="0.7" top="0.75" bottom="0.75" header="0.3" footer="0.3"/>
  <pageSetup orientation="portrait" paperSize="9" r:id="rId1"/>
</worksheet>
</file>

<file path=xl/worksheets/sheet38.xml><?xml version="1.0" encoding="utf-8"?>
<worksheet xmlns="http://schemas.openxmlformats.org/spreadsheetml/2006/main" xmlns:r="http://schemas.openxmlformats.org/officeDocument/2006/relationships">
  <sheetPr codeName="Sheet38">
    <tabColor rgb="FFFF0000"/>
  </sheetPr>
  <dimension ref="A1:M19"/>
  <sheetViews>
    <sheetView showGridLines="0" workbookViewId="0" topLeftCell="A1">
      <selection activeCell="A1" sqref="A1"/>
    </sheetView>
  </sheetViews>
  <sheetFormatPr defaultColWidth="9.00390625" defaultRowHeight="13.5"/>
  <cols>
    <col min="2" max="2" width="1.12109375" style="0" customWidth="1"/>
    <col min="3" max="3" width="18.625" style="0" customWidth="1"/>
    <col min="4" max="4" width="10.00390625" style="0" customWidth="1"/>
    <col min="5" max="5" width="7.125" style="0" bestFit="1" customWidth="1"/>
    <col min="6" max="6" width="7.375" style="0" customWidth="1"/>
    <col min="7" max="7" width="5.75390625" style="0" customWidth="1"/>
    <col min="8" max="8" width="7.375" style="0" customWidth="1"/>
    <col min="9" max="9" width="5.75390625" style="0" customWidth="1"/>
    <col min="10" max="10" width="7.375" style="0" customWidth="1"/>
    <col min="11" max="11" width="5.25390625" style="0" bestFit="1" customWidth="1"/>
  </cols>
  <sheetData>
    <row r="1" spans="1:12" ht="12.75">
      <c r="A1" s="558"/>
      <c r="B1" s="558"/>
      <c r="C1" s="558"/>
      <c r="D1" s="558"/>
      <c r="E1" s="558"/>
      <c r="F1" s="558"/>
      <c r="G1" s="558"/>
      <c r="H1" s="558"/>
      <c r="I1" s="558"/>
      <c r="J1" s="558"/>
      <c r="K1" s="558"/>
      <c r="L1" s="558"/>
    </row>
    <row r="2" spans="1:12" ht="13.5" thickBot="1">
      <c r="A2" s="558"/>
      <c r="B2" s="878"/>
      <c r="C2" s="877" t="s">
        <v>495</v>
      </c>
      <c r="D2" s="878"/>
      <c r="E2" s="878"/>
      <c r="F2" s="878"/>
      <c r="G2" s="878"/>
      <c r="H2" s="878"/>
      <c r="I2" s="878"/>
      <c r="J2" s="878"/>
      <c r="K2" s="878"/>
      <c r="L2" s="558"/>
    </row>
    <row r="3" spans="1:12" ht="13.5" thickTop="1">
      <c r="A3" s="558"/>
      <c r="B3" s="1480" t="s">
        <v>555</v>
      </c>
      <c r="C3" s="1481"/>
      <c r="D3" s="1484" t="s">
        <v>474</v>
      </c>
      <c r="E3" s="1484"/>
      <c r="F3" s="1485" t="s">
        <v>475</v>
      </c>
      <c r="G3" s="1485"/>
      <c r="H3" s="1485"/>
      <c r="I3" s="1485"/>
      <c r="J3" s="1485"/>
      <c r="K3" s="1486"/>
      <c r="L3" s="558"/>
    </row>
    <row r="4" spans="1:12" ht="12.75">
      <c r="A4" s="872"/>
      <c r="B4" s="1482"/>
      <c r="C4" s="1483"/>
      <c r="D4" s="796"/>
      <c r="E4" s="797" t="s">
        <v>476</v>
      </c>
      <c r="F4" s="798" t="s">
        <v>110</v>
      </c>
      <c r="G4" s="799" t="s">
        <v>477</v>
      </c>
      <c r="H4" s="798" t="s">
        <v>117</v>
      </c>
      <c r="I4" s="799" t="s">
        <v>477</v>
      </c>
      <c r="J4" s="798" t="s">
        <v>118</v>
      </c>
      <c r="K4" s="800" t="s">
        <v>477</v>
      </c>
      <c r="L4" s="558"/>
    </row>
    <row r="5" spans="1:13" ht="12.75">
      <c r="A5" s="558"/>
      <c r="B5" s="1487" t="s">
        <v>478</v>
      </c>
      <c r="C5" s="1488"/>
      <c r="D5" s="802" t="s">
        <v>479</v>
      </c>
      <c r="E5" s="803" t="s">
        <v>452</v>
      </c>
      <c r="F5" s="802" t="s">
        <v>479</v>
      </c>
      <c r="G5" s="803" t="s">
        <v>452</v>
      </c>
      <c r="H5" s="802" t="s">
        <v>479</v>
      </c>
      <c r="I5" s="803" t="s">
        <v>452</v>
      </c>
      <c r="J5" s="802" t="s">
        <v>479</v>
      </c>
      <c r="K5" s="804" t="s">
        <v>452</v>
      </c>
      <c r="L5" s="872"/>
      <c r="M5" s="590"/>
    </row>
    <row r="6" spans="1:13" ht="12.75">
      <c r="A6" s="558"/>
      <c r="B6" s="1487"/>
      <c r="C6" s="1488"/>
      <c r="D6" s="805">
        <f>SUM(D7:D11)</f>
        <v>3033961</v>
      </c>
      <c r="E6" s="806">
        <f>ROUND(D6/$D$6*100,1)</f>
        <v>100</v>
      </c>
      <c r="F6" s="807">
        <f>SUM(F7:F11)</f>
        <v>2541830</v>
      </c>
      <c r="G6" s="808">
        <f>ROUND(F6/$D$6*100,1)</f>
        <v>83.8</v>
      </c>
      <c r="H6" s="805">
        <f>SUM(H7:H11)</f>
        <v>492131</v>
      </c>
      <c r="I6" s="808">
        <f>ROUND(H6/$D$6*100,1)</f>
        <v>16.2</v>
      </c>
      <c r="J6" s="809">
        <f>SUM(J7:J11)</f>
        <v>0</v>
      </c>
      <c r="K6" s="810" t="str">
        <f aca="true" t="shared" si="0" ref="K6:K11">IF(J6=0,"-",ROUND(J6/$D$6*100,1))</f>
        <v>-</v>
      </c>
      <c r="L6" s="558"/>
      <c r="M6" s="590">
        <f>SUM(G6,I6,K6)</f>
        <v>100</v>
      </c>
    </row>
    <row r="7" spans="1:13" ht="12.75">
      <c r="A7" s="872"/>
      <c r="B7" s="811"/>
      <c r="C7" s="822" t="s">
        <v>480</v>
      </c>
      <c r="D7" s="812">
        <f>'表２３'!D9</f>
        <v>1165824</v>
      </c>
      <c r="E7" s="806">
        <f>ROUND(D7/$D$6*100,1)</f>
        <v>38.4</v>
      </c>
      <c r="F7" s="812">
        <f>'表２３'!K9</f>
        <v>1155225</v>
      </c>
      <c r="G7" s="808">
        <f>ROUND(F7/$F$6*100,1)</f>
        <v>45.4</v>
      </c>
      <c r="H7" s="812">
        <f>'表２３'!L9</f>
        <v>10599</v>
      </c>
      <c r="I7" s="808">
        <f>ROUND(H7/$H$6*100,1)</f>
        <v>2.2</v>
      </c>
      <c r="J7" s="813">
        <f>'表２３'!M9</f>
        <v>0</v>
      </c>
      <c r="K7" s="810" t="str">
        <f t="shared" si="0"/>
        <v>-</v>
      </c>
      <c r="L7" s="558"/>
      <c r="M7" s="590"/>
    </row>
    <row r="8" spans="1:13" ht="12.75">
      <c r="A8" s="872"/>
      <c r="B8" s="814"/>
      <c r="C8" s="822" t="s">
        <v>481</v>
      </c>
      <c r="D8" s="812">
        <f>'表２３'!D10</f>
        <v>573593</v>
      </c>
      <c r="E8" s="806">
        <f>ROUND(D8/$D$6*100,1)</f>
        <v>18.9</v>
      </c>
      <c r="F8" s="812">
        <f>'表２３'!K10</f>
        <v>227534</v>
      </c>
      <c r="G8" s="815">
        <f>ROUND(F8/$F$6*100,1)</f>
        <v>9</v>
      </c>
      <c r="H8" s="812">
        <f>'表２３'!L10</f>
        <v>346059</v>
      </c>
      <c r="I8" s="808">
        <f>ROUND(H8/$H$6*100,1)</f>
        <v>70.3</v>
      </c>
      <c r="J8" s="813">
        <f>'表２３'!M10</f>
        <v>0</v>
      </c>
      <c r="K8" s="810" t="str">
        <f t="shared" si="0"/>
        <v>-</v>
      </c>
      <c r="L8" s="558"/>
      <c r="M8" s="590"/>
    </row>
    <row r="9" spans="1:13" ht="12.75">
      <c r="A9" s="872"/>
      <c r="B9" s="814"/>
      <c r="C9" s="822" t="s">
        <v>482</v>
      </c>
      <c r="D9" s="812">
        <f>'表２３'!D11</f>
        <v>80246</v>
      </c>
      <c r="E9" s="806">
        <f>ROUND(D9/$D$6*100,1)</f>
        <v>2.6</v>
      </c>
      <c r="F9" s="812">
        <f>'表２３'!K11</f>
        <v>79520</v>
      </c>
      <c r="G9" s="815">
        <f>ROUND(F9/$F$6*100,1)</f>
        <v>3.1</v>
      </c>
      <c r="H9" s="812">
        <f>'表２３'!L11</f>
        <v>726</v>
      </c>
      <c r="I9" s="808">
        <f>ROUND(H9/$H$6*100,1)</f>
        <v>0.1</v>
      </c>
      <c r="J9" s="813">
        <f>'表２３'!M11</f>
        <v>0</v>
      </c>
      <c r="K9" s="810" t="str">
        <f t="shared" si="0"/>
        <v>-</v>
      </c>
      <c r="L9" s="558"/>
      <c r="M9" s="590"/>
    </row>
    <row r="10" spans="1:13" ht="12.75">
      <c r="A10" s="872"/>
      <c r="B10" s="814"/>
      <c r="C10" s="822" t="s">
        <v>483</v>
      </c>
      <c r="D10" s="816">
        <f>'表２３'!D12</f>
        <v>248323</v>
      </c>
      <c r="E10" s="806">
        <f>ROUND(D10/$D$6*100,1)</f>
        <v>8.2</v>
      </c>
      <c r="F10" s="812">
        <f>'表２３'!K12</f>
        <v>248323</v>
      </c>
      <c r="G10" s="815">
        <f>ROUND(F10/$F$6*100,1)</f>
        <v>9.8</v>
      </c>
      <c r="H10" s="812">
        <f>'表２３'!L12</f>
        <v>0</v>
      </c>
      <c r="I10" s="808">
        <f>ROUND(H10/$H$6*100,1)</f>
        <v>0</v>
      </c>
      <c r="J10" s="813">
        <f>'表２３'!M12</f>
        <v>0</v>
      </c>
      <c r="K10" s="810" t="str">
        <f t="shared" si="0"/>
        <v>-</v>
      </c>
      <c r="L10" s="558"/>
      <c r="M10" s="590"/>
    </row>
    <row r="11" spans="1:13" ht="20.25" thickBot="1">
      <c r="A11" s="872"/>
      <c r="B11" s="817"/>
      <c r="C11" s="836" t="s">
        <v>484</v>
      </c>
      <c r="D11" s="818">
        <f>'表２３'!D13</f>
        <v>965975</v>
      </c>
      <c r="E11" s="893">
        <f>ROUND(D11/$D$6*100,1)+0.1</f>
        <v>31.900000000000002</v>
      </c>
      <c r="F11" s="818">
        <f>'表２３'!K13</f>
        <v>831228</v>
      </c>
      <c r="G11" s="819">
        <f>ROUND(F11/$F$6*100,1)</f>
        <v>32.7</v>
      </c>
      <c r="H11" s="818">
        <f>'表２３'!L13</f>
        <v>134747</v>
      </c>
      <c r="I11" s="819">
        <f>ROUND(H11/$H$6*100,1)</f>
        <v>27.4</v>
      </c>
      <c r="J11" s="820">
        <f>'表２３'!M13</f>
        <v>0</v>
      </c>
      <c r="K11" s="821" t="str">
        <f t="shared" si="0"/>
        <v>-</v>
      </c>
      <c r="L11" s="558"/>
      <c r="M11" s="590"/>
    </row>
    <row r="12" spans="1:12" ht="13.5" thickTop="1">
      <c r="A12" s="558"/>
      <c r="B12" s="558"/>
      <c r="C12" s="558"/>
      <c r="D12" s="558"/>
      <c r="E12" s="558"/>
      <c r="F12" s="558"/>
      <c r="G12" s="558"/>
      <c r="H12" s="558"/>
      <c r="I12" s="872"/>
      <c r="J12" s="558"/>
      <c r="K12" s="558"/>
      <c r="L12" s="558"/>
    </row>
    <row r="13" spans="1:12" ht="12.75">
      <c r="A13" s="558"/>
      <c r="B13" s="558"/>
      <c r="C13" s="558"/>
      <c r="D13" s="558"/>
      <c r="E13" s="910">
        <f>SUM(E7:E11)</f>
        <v>100</v>
      </c>
      <c r="F13" s="558"/>
      <c r="G13" s="558"/>
      <c r="H13" s="558"/>
      <c r="I13" s="558"/>
      <c r="J13" s="558"/>
      <c r="K13" s="558"/>
      <c r="L13" s="558"/>
    </row>
    <row r="14" ht="12.75">
      <c r="E14" s="593" t="str">
        <f>IF(SUM(E7:E11)=100,"OK","構成比100％じゃないよ")</f>
        <v>OK</v>
      </c>
    </row>
    <row r="15" ht="12.75">
      <c r="E15">
        <f>D7/$D$6</f>
        <v>0.3842580705552906</v>
      </c>
    </row>
    <row r="16" ht="12.75">
      <c r="E16">
        <f>D8/$D$6</f>
        <v>0.18905747305255408</v>
      </c>
    </row>
    <row r="17" ht="12.75">
      <c r="E17">
        <f>D9/$D$6</f>
        <v>0.026449252314054136</v>
      </c>
    </row>
    <row r="18" ht="12.75">
      <c r="E18">
        <f>D10/$D$6</f>
        <v>0.08184778907836983</v>
      </c>
    </row>
    <row r="19" ht="12.75">
      <c r="E19">
        <f>D11/$D$6</f>
        <v>0.3183874149997314</v>
      </c>
    </row>
  </sheetData>
  <sheetProtection/>
  <mergeCells count="4">
    <mergeCell ref="B3:C4"/>
    <mergeCell ref="D3:E3"/>
    <mergeCell ref="F3:K3"/>
    <mergeCell ref="B5:C6"/>
  </mergeCells>
  <printOptions/>
  <pageMargins left="0.7" right="0.7" top="0.75" bottom="0.75" header="0.3" footer="0.3"/>
  <pageSetup orientation="portrait" paperSize="9" r:id="rId2"/>
  <ignoredErrors>
    <ignoredError sqref="E6 I6 G6 F7:J8 F6 H6 J6" formula="1"/>
  </ignoredErrors>
  <drawing r:id="rId1"/>
</worksheet>
</file>

<file path=xl/worksheets/sheet39.xml><?xml version="1.0" encoding="utf-8"?>
<worksheet xmlns="http://schemas.openxmlformats.org/spreadsheetml/2006/main" xmlns:r="http://schemas.openxmlformats.org/officeDocument/2006/relationships">
  <sheetPr codeName="Sheet39">
    <tabColor rgb="FFFF0000"/>
  </sheetPr>
  <dimension ref="A1:I18"/>
  <sheetViews>
    <sheetView showGridLines="0" zoomScalePageLayoutView="120" workbookViewId="0" topLeftCell="A1">
      <selection activeCell="A1" sqref="A1"/>
    </sheetView>
  </sheetViews>
  <sheetFormatPr defaultColWidth="9.00390625" defaultRowHeight="13.5"/>
  <cols>
    <col min="2" max="2" width="1.4921875" style="0" customWidth="1"/>
    <col min="3" max="3" width="18.625" style="0" customWidth="1"/>
    <col min="4" max="4" width="11.375" style="0" customWidth="1"/>
    <col min="5" max="5" width="16.00390625" style="0" customWidth="1"/>
    <col min="6" max="6" width="8.375" style="0" customWidth="1"/>
    <col min="7" max="7" width="16.00390625" style="0" customWidth="1"/>
    <col min="8" max="8" width="8.375" style="0" customWidth="1"/>
  </cols>
  <sheetData>
    <row r="1" spans="1:9" ht="12.75">
      <c r="A1" s="558"/>
      <c r="B1" s="876" t="s">
        <v>496</v>
      </c>
      <c r="C1" s="872"/>
      <c r="D1" s="872"/>
      <c r="E1" s="872"/>
      <c r="F1" s="872"/>
      <c r="G1" s="872"/>
      <c r="H1" s="872"/>
      <c r="I1" s="558"/>
    </row>
    <row r="2" spans="1:9" ht="13.5" thickBot="1">
      <c r="A2" s="558"/>
      <c r="B2" s="877"/>
      <c r="C2" s="878"/>
      <c r="D2" s="878"/>
      <c r="E2" s="878"/>
      <c r="F2" s="878"/>
      <c r="G2" s="878"/>
      <c r="H2" s="878"/>
      <c r="I2" s="558"/>
    </row>
    <row r="3" spans="1:9" ht="13.5" thickTop="1">
      <c r="A3" s="872"/>
      <c r="B3" s="1480" t="s">
        <v>555</v>
      </c>
      <c r="C3" s="1481"/>
      <c r="D3" s="1489" t="s">
        <v>485</v>
      </c>
      <c r="E3" s="1491" t="s">
        <v>486</v>
      </c>
      <c r="F3" s="1491"/>
      <c r="G3" s="1491" t="s">
        <v>487</v>
      </c>
      <c r="H3" s="1492"/>
      <c r="I3" s="558"/>
    </row>
    <row r="4" spans="1:9" ht="12.75">
      <c r="A4" s="872"/>
      <c r="B4" s="1482"/>
      <c r="C4" s="1483"/>
      <c r="D4" s="1490"/>
      <c r="E4" s="643" t="s">
        <v>488</v>
      </c>
      <c r="F4" s="643" t="s">
        <v>477</v>
      </c>
      <c r="G4" s="643" t="s">
        <v>488</v>
      </c>
      <c r="H4" s="823" t="s">
        <v>477</v>
      </c>
      <c r="I4" s="558"/>
    </row>
    <row r="5" spans="1:9" ht="12.75">
      <c r="A5" s="872"/>
      <c r="B5" s="1493" t="s">
        <v>489</v>
      </c>
      <c r="C5" s="1494"/>
      <c r="D5" s="644" t="s">
        <v>479</v>
      </c>
      <c r="E5" s="644" t="s">
        <v>479</v>
      </c>
      <c r="F5" s="644" t="s">
        <v>452</v>
      </c>
      <c r="G5" s="644" t="s">
        <v>479</v>
      </c>
      <c r="H5" s="608" t="s">
        <v>452</v>
      </c>
      <c r="I5" s="558"/>
    </row>
    <row r="6" spans="1:9" ht="12.75">
      <c r="A6" s="872"/>
      <c r="B6" s="1495" t="s">
        <v>490</v>
      </c>
      <c r="C6" s="1496"/>
      <c r="D6" s="824">
        <f>SUM(E6,G6)</f>
        <v>5064315</v>
      </c>
      <c r="E6" s="824">
        <f>'表２３'!D14</f>
        <v>2030354</v>
      </c>
      <c r="F6" s="825">
        <f>_xlfn.IFERROR(ROUND(E6/D6*100,1),"-")</f>
        <v>40.1</v>
      </c>
      <c r="G6" s="824">
        <f>'表２３'!D5</f>
        <v>3033961</v>
      </c>
      <c r="H6" s="826">
        <f>ROUND(G6/D6*100,1)</f>
        <v>59.9</v>
      </c>
      <c r="I6" s="558"/>
    </row>
    <row r="7" spans="1:9" ht="12.75">
      <c r="A7" s="872"/>
      <c r="B7" s="612"/>
      <c r="C7" s="846" t="s">
        <v>491</v>
      </c>
      <c r="D7" s="849">
        <f aca="true" t="shared" si="0" ref="D7:D16">SUM(E7,G7)</f>
        <v>0</v>
      </c>
      <c r="E7" s="639">
        <f>'表２３'!D15</f>
        <v>0</v>
      </c>
      <c r="F7" s="828" t="str">
        <f>_xlfn.IFERROR(ROUND(E7/D7*100,1),"-")</f>
        <v>-</v>
      </c>
      <c r="G7" s="829"/>
      <c r="H7" s="830"/>
      <c r="I7" s="558"/>
    </row>
    <row r="8" spans="1:9" ht="12.75">
      <c r="A8" s="872"/>
      <c r="B8" s="616"/>
      <c r="C8" s="846" t="s">
        <v>492</v>
      </c>
      <c r="D8" s="849">
        <f t="shared" si="0"/>
        <v>187367</v>
      </c>
      <c r="E8" s="639">
        <f>'表２３'!D16</f>
        <v>187367</v>
      </c>
      <c r="F8" s="825">
        <f aca="true" t="shared" si="1" ref="F8:F16">_xlfn.IFERROR(ROUND(E8/D8*100,1),"-")</f>
        <v>100</v>
      </c>
      <c r="G8" s="829"/>
      <c r="H8" s="830"/>
      <c r="I8" s="558"/>
    </row>
    <row r="9" spans="1:9" ht="12.75">
      <c r="A9" s="872"/>
      <c r="B9" s="616"/>
      <c r="C9" s="827" t="s">
        <v>493</v>
      </c>
      <c r="D9" s="639">
        <f t="shared" si="0"/>
        <v>1512357</v>
      </c>
      <c r="E9" s="639">
        <f>'表２３'!D17</f>
        <v>1512357</v>
      </c>
      <c r="F9" s="825">
        <f t="shared" si="1"/>
        <v>100</v>
      </c>
      <c r="G9" s="829"/>
      <c r="H9" s="830"/>
      <c r="I9" s="558"/>
    </row>
    <row r="10" spans="1:9" ht="12.75">
      <c r="A10" s="872"/>
      <c r="B10" s="616"/>
      <c r="C10" s="827" t="s">
        <v>480</v>
      </c>
      <c r="D10" s="639">
        <f t="shared" si="0"/>
        <v>1165824</v>
      </c>
      <c r="E10" s="639">
        <f>'表２３'!D18</f>
        <v>0</v>
      </c>
      <c r="F10" s="825">
        <f>_xlfn.IFERROR(ROUND(E10/D10*100,1),"-")</f>
        <v>0</v>
      </c>
      <c r="G10" s="639">
        <f>'表２３'!D9</f>
        <v>1165824</v>
      </c>
      <c r="H10" s="826">
        <f>ROUND(G10/D10*100,1)</f>
        <v>100</v>
      </c>
      <c r="I10" s="558"/>
    </row>
    <row r="11" spans="1:9" ht="12.75">
      <c r="A11" s="872"/>
      <c r="B11" s="616"/>
      <c r="C11" s="827" t="s">
        <v>481</v>
      </c>
      <c r="D11" s="639">
        <f t="shared" si="0"/>
        <v>611384</v>
      </c>
      <c r="E11" s="639">
        <f>'表２３'!D19</f>
        <v>37791</v>
      </c>
      <c r="F11" s="825">
        <f t="shared" si="1"/>
        <v>6.2</v>
      </c>
      <c r="G11" s="639">
        <f>'表２３'!D10</f>
        <v>573593</v>
      </c>
      <c r="H11" s="826">
        <f>ROUND(G11/D11*100,1)</f>
        <v>93.8</v>
      </c>
      <c r="I11" s="558"/>
    </row>
    <row r="12" spans="1:9" ht="12.75">
      <c r="A12" s="872"/>
      <c r="B12" s="616"/>
      <c r="C12" s="827" t="s">
        <v>482</v>
      </c>
      <c r="D12" s="639">
        <f t="shared" si="0"/>
        <v>80246</v>
      </c>
      <c r="E12" s="639">
        <f>'表２３'!D20</f>
        <v>0</v>
      </c>
      <c r="F12" s="825">
        <f t="shared" si="1"/>
        <v>0</v>
      </c>
      <c r="G12" s="639">
        <f>'表２３'!D11</f>
        <v>80246</v>
      </c>
      <c r="H12" s="826">
        <f>ROUND(G12/D12*100,1)</f>
        <v>100</v>
      </c>
      <c r="I12" s="558"/>
    </row>
    <row r="13" spans="1:9" ht="12.75">
      <c r="A13" s="872"/>
      <c r="B13" s="616"/>
      <c r="C13" s="847" t="s">
        <v>483</v>
      </c>
      <c r="D13" s="850">
        <f t="shared" si="0"/>
        <v>248323</v>
      </c>
      <c r="E13" s="639">
        <f>'表２３'!D21</f>
        <v>0</v>
      </c>
      <c r="F13" s="825">
        <f t="shared" si="1"/>
        <v>0</v>
      </c>
      <c r="G13" s="639">
        <f>'表２３'!D12</f>
        <v>248323</v>
      </c>
      <c r="H13" s="826">
        <f>ROUND(G13/D13*100,1)</f>
        <v>100</v>
      </c>
      <c r="I13" s="558"/>
    </row>
    <row r="14" spans="1:9" ht="12.75">
      <c r="A14" s="872"/>
      <c r="B14" s="616"/>
      <c r="C14" s="846" t="s">
        <v>494</v>
      </c>
      <c r="D14" s="849">
        <f t="shared" si="0"/>
        <v>1122854</v>
      </c>
      <c r="E14" s="639">
        <f>'表２３'!D22</f>
        <v>156879</v>
      </c>
      <c r="F14" s="825">
        <f t="shared" si="1"/>
        <v>14</v>
      </c>
      <c r="G14" s="639">
        <f>'表２３'!D13</f>
        <v>965975</v>
      </c>
      <c r="H14" s="826">
        <f>ROUND(G14/D14*100,1)</f>
        <v>86</v>
      </c>
      <c r="I14" s="558"/>
    </row>
    <row r="15" spans="1:9" ht="24">
      <c r="A15" s="872"/>
      <c r="B15" s="616"/>
      <c r="C15" s="851" t="s">
        <v>498</v>
      </c>
      <c r="D15" s="849">
        <f t="shared" si="0"/>
        <v>61614</v>
      </c>
      <c r="E15" s="639">
        <f>'表２３'!D23</f>
        <v>61614</v>
      </c>
      <c r="F15" s="825">
        <f t="shared" si="1"/>
        <v>100</v>
      </c>
      <c r="G15" s="829"/>
      <c r="H15" s="830"/>
      <c r="I15" s="558"/>
    </row>
    <row r="16" spans="1:9" ht="13.5" thickBot="1">
      <c r="A16" s="872"/>
      <c r="B16" s="848"/>
      <c r="C16" s="831" t="s">
        <v>497</v>
      </c>
      <c r="D16" s="832">
        <f t="shared" si="0"/>
        <v>74346</v>
      </c>
      <c r="E16" s="832">
        <f>'表２３'!D24</f>
        <v>74346</v>
      </c>
      <c r="F16" s="833">
        <f t="shared" si="1"/>
        <v>100</v>
      </c>
      <c r="G16" s="834"/>
      <c r="H16" s="835"/>
      <c r="I16" s="558"/>
    </row>
    <row r="17" spans="1:9" ht="13.5" thickTop="1">
      <c r="A17" s="558"/>
      <c r="B17" s="558"/>
      <c r="C17" s="558"/>
      <c r="D17" s="558"/>
      <c r="E17" s="558"/>
      <c r="F17" s="558"/>
      <c r="G17" s="558"/>
      <c r="H17" s="872"/>
      <c r="I17" s="558"/>
    </row>
    <row r="18" spans="1:9" ht="12.75">
      <c r="A18" s="558"/>
      <c r="B18" s="558"/>
      <c r="C18" s="558"/>
      <c r="D18" s="558"/>
      <c r="E18" s="558"/>
      <c r="F18" s="558"/>
      <c r="G18" s="558"/>
      <c r="H18" s="558"/>
      <c r="I18" s="558"/>
    </row>
  </sheetData>
  <sheetProtection/>
  <mergeCells count="6">
    <mergeCell ref="B3:C4"/>
    <mergeCell ref="D3:D4"/>
    <mergeCell ref="E3:F3"/>
    <mergeCell ref="G3:H3"/>
    <mergeCell ref="B5:C5"/>
    <mergeCell ref="B6:C6"/>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I15"/>
  <sheetViews>
    <sheetView zoomScalePageLayoutView="0" workbookViewId="0" topLeftCell="A1">
      <selection activeCell="A1" sqref="A1:F1"/>
    </sheetView>
  </sheetViews>
  <sheetFormatPr defaultColWidth="9.00390625" defaultRowHeight="13.5"/>
  <cols>
    <col min="1" max="1" width="2.625" style="7" customWidth="1"/>
    <col min="2" max="2" width="2.125" style="7" customWidth="1"/>
    <col min="3" max="3" width="2.625" style="7" customWidth="1"/>
    <col min="4" max="4" width="14.125" style="7" customWidth="1"/>
    <col min="5" max="5" width="13.625" style="7" customWidth="1"/>
    <col min="6" max="9" width="13.375" style="7" customWidth="1"/>
    <col min="10" max="16384" width="9.00390625" style="7" customWidth="1"/>
  </cols>
  <sheetData>
    <row r="1" spans="1:9" ht="21" customHeight="1" thickBot="1">
      <c r="A1" s="917" t="s">
        <v>55</v>
      </c>
      <c r="B1" s="917"/>
      <c r="C1" s="917"/>
      <c r="D1" s="917"/>
      <c r="E1" s="917"/>
      <c r="F1" s="975"/>
      <c r="I1" s="7" t="s">
        <v>336</v>
      </c>
    </row>
    <row r="2" spans="1:9" ht="27.75" customHeight="1" thickBot="1">
      <c r="A2" s="949" t="s">
        <v>44</v>
      </c>
      <c r="B2" s="950"/>
      <c r="C2" s="950"/>
      <c r="D2" s="951"/>
      <c r="E2" s="180" t="s">
        <v>321</v>
      </c>
      <c r="F2" s="14" t="s">
        <v>326</v>
      </c>
      <c r="G2" s="156" t="s">
        <v>328</v>
      </c>
      <c r="H2" s="14" t="s">
        <v>332</v>
      </c>
      <c r="I2" s="141" t="s">
        <v>331</v>
      </c>
    </row>
    <row r="3" spans="1:9" ht="27.75" customHeight="1" thickTop="1">
      <c r="A3" s="952" t="s">
        <v>56</v>
      </c>
      <c r="B3" s="977" t="s">
        <v>29</v>
      </c>
      <c r="C3" s="977"/>
      <c r="D3" s="977"/>
      <c r="E3" s="15">
        <v>1144632</v>
      </c>
      <c r="F3" s="163">
        <v>1178489</v>
      </c>
      <c r="G3" s="171">
        <v>1161958</v>
      </c>
      <c r="H3" s="15">
        <v>1193511</v>
      </c>
      <c r="I3" s="260">
        <f>'表５'!F30</f>
        <v>1196132</v>
      </c>
    </row>
    <row r="4" spans="1:9" ht="27.75" customHeight="1">
      <c r="A4" s="953"/>
      <c r="B4" s="958"/>
      <c r="C4" s="965" t="s">
        <v>30</v>
      </c>
      <c r="D4" s="965"/>
      <c r="E4" s="16">
        <v>827805</v>
      </c>
      <c r="F4" s="36">
        <v>1006318</v>
      </c>
      <c r="G4" s="16">
        <v>936639</v>
      </c>
      <c r="H4" s="16">
        <v>1061317</v>
      </c>
      <c r="I4" s="261">
        <f>'表５'!G30</f>
        <v>1209932</v>
      </c>
    </row>
    <row r="5" spans="1:9" ht="27.75" customHeight="1">
      <c r="A5" s="953"/>
      <c r="B5" s="959"/>
      <c r="C5" s="965" t="s">
        <v>31</v>
      </c>
      <c r="D5" s="965"/>
      <c r="E5" s="16">
        <v>981441</v>
      </c>
      <c r="F5" s="36">
        <v>951070</v>
      </c>
      <c r="G5" s="16">
        <v>984467</v>
      </c>
      <c r="H5" s="16">
        <v>1030723</v>
      </c>
      <c r="I5" s="261">
        <f>'表５'!H30</f>
        <v>1027183</v>
      </c>
    </row>
    <row r="6" spans="1:9" ht="27.75" customHeight="1">
      <c r="A6" s="953"/>
      <c r="B6" s="959"/>
      <c r="C6" s="965" t="s">
        <v>32</v>
      </c>
      <c r="D6" s="965"/>
      <c r="E6" s="16">
        <v>1175094</v>
      </c>
      <c r="F6" s="36">
        <v>1263294</v>
      </c>
      <c r="G6" s="16">
        <v>1297236</v>
      </c>
      <c r="H6" s="16">
        <v>1305640</v>
      </c>
      <c r="I6" s="261">
        <f>'表５'!I30</f>
        <v>1221929</v>
      </c>
    </row>
    <row r="7" spans="1:9" ht="27.75" customHeight="1">
      <c r="A7" s="953"/>
      <c r="B7" s="959"/>
      <c r="C7" s="974" t="s">
        <v>243</v>
      </c>
      <c r="D7" s="974"/>
      <c r="E7" s="16">
        <v>6348397</v>
      </c>
      <c r="F7" s="36">
        <v>6299100</v>
      </c>
      <c r="G7" s="16">
        <v>6565351</v>
      </c>
      <c r="H7" s="16">
        <v>6353516</v>
      </c>
      <c r="I7" s="261">
        <f>'表５'!J30</f>
        <v>6551568</v>
      </c>
    </row>
    <row r="8" spans="1:9" ht="27.75" customHeight="1">
      <c r="A8" s="953"/>
      <c r="B8" s="959"/>
      <c r="C8" s="946" t="s">
        <v>33</v>
      </c>
      <c r="D8" s="19" t="s">
        <v>34</v>
      </c>
      <c r="E8" s="16">
        <v>1316882</v>
      </c>
      <c r="F8" s="36">
        <v>1439550</v>
      </c>
      <c r="G8" s="16">
        <v>1189512</v>
      </c>
      <c r="H8" s="16">
        <v>1224008</v>
      </c>
      <c r="I8" s="261">
        <f>'表５'!K30</f>
        <v>1330275</v>
      </c>
    </row>
    <row r="9" spans="1:9" ht="27.75" customHeight="1">
      <c r="A9" s="953"/>
      <c r="B9" s="959"/>
      <c r="C9" s="946"/>
      <c r="D9" s="19" t="s">
        <v>35</v>
      </c>
      <c r="E9" s="16">
        <v>2179542</v>
      </c>
      <c r="F9" s="36">
        <v>2479249</v>
      </c>
      <c r="G9" s="16">
        <v>2473524</v>
      </c>
      <c r="H9" s="16">
        <v>2498104</v>
      </c>
      <c r="I9" s="261">
        <f>'表５'!L30</f>
        <v>2668271</v>
      </c>
    </row>
    <row r="10" spans="1:9" ht="27.75" customHeight="1">
      <c r="A10" s="953"/>
      <c r="B10" s="959"/>
      <c r="C10" s="946"/>
      <c r="D10" s="19" t="s">
        <v>36</v>
      </c>
      <c r="E10" s="16">
        <v>320634</v>
      </c>
      <c r="F10" s="36">
        <v>361990</v>
      </c>
      <c r="G10" s="16">
        <v>414407</v>
      </c>
      <c r="H10" s="16">
        <v>428306</v>
      </c>
      <c r="I10" s="261">
        <f>'表５'!M30</f>
        <v>424504</v>
      </c>
    </row>
    <row r="11" spans="1:9" ht="27.75" customHeight="1">
      <c r="A11" s="953"/>
      <c r="B11" s="959"/>
      <c r="C11" s="929" t="s">
        <v>38</v>
      </c>
      <c r="D11" s="978"/>
      <c r="E11" s="16">
        <v>855453</v>
      </c>
      <c r="F11" s="36">
        <v>818650</v>
      </c>
      <c r="G11" s="16">
        <v>848534</v>
      </c>
      <c r="H11" s="16">
        <v>830070</v>
      </c>
      <c r="I11" s="261">
        <f>'表５'!N30</f>
        <v>909325</v>
      </c>
    </row>
    <row r="12" spans="1:9" ht="27.75" customHeight="1">
      <c r="A12" s="953"/>
      <c r="B12" s="959"/>
      <c r="C12" s="965" t="s">
        <v>39</v>
      </c>
      <c r="D12" s="965"/>
      <c r="E12" s="16">
        <v>1727009</v>
      </c>
      <c r="F12" s="36">
        <v>1711100</v>
      </c>
      <c r="G12" s="16">
        <v>2096598</v>
      </c>
      <c r="H12" s="16">
        <v>2491410</v>
      </c>
      <c r="I12" s="261">
        <f>'表５'!O30</f>
        <v>2740011</v>
      </c>
    </row>
    <row r="13" spans="1:9" ht="27.75" customHeight="1">
      <c r="A13" s="953"/>
      <c r="B13" s="964"/>
      <c r="C13" s="973" t="s">
        <v>324</v>
      </c>
      <c r="D13" s="974"/>
      <c r="E13" s="145">
        <v>962462</v>
      </c>
      <c r="F13" s="159">
        <v>1094144</v>
      </c>
      <c r="G13" s="145">
        <v>1120478</v>
      </c>
      <c r="H13" s="145">
        <v>1059323</v>
      </c>
      <c r="I13" s="261">
        <f>'表５'!P30</f>
        <v>932525</v>
      </c>
    </row>
    <row r="14" spans="1:9" ht="27.75" customHeight="1">
      <c r="A14" s="953"/>
      <c r="B14" s="971" t="s">
        <v>40</v>
      </c>
      <c r="C14" s="971"/>
      <c r="D14" s="971"/>
      <c r="E14" s="20">
        <v>15643</v>
      </c>
      <c r="F14" s="164">
        <v>16305</v>
      </c>
      <c r="G14" s="20">
        <v>15935</v>
      </c>
      <c r="H14" s="20">
        <v>15910</v>
      </c>
      <c r="I14" s="172">
        <f>'表５'!Q30</f>
        <v>13073</v>
      </c>
    </row>
    <row r="15" spans="1:9" ht="27.75" customHeight="1" thickBot="1">
      <c r="A15" s="976"/>
      <c r="B15" s="972" t="s">
        <v>41</v>
      </c>
      <c r="C15" s="972"/>
      <c r="D15" s="972"/>
      <c r="E15" s="21">
        <v>7888</v>
      </c>
      <c r="F15" s="165">
        <v>8232</v>
      </c>
      <c r="G15" s="21">
        <v>8493</v>
      </c>
      <c r="H15" s="21">
        <v>8955</v>
      </c>
      <c r="I15" s="173">
        <f>'表５'!R30</f>
        <v>8823</v>
      </c>
    </row>
  </sheetData>
  <sheetProtection/>
  <mergeCells count="15">
    <mergeCell ref="C5:D5"/>
    <mergeCell ref="C6:D6"/>
    <mergeCell ref="C7:D7"/>
    <mergeCell ref="C8:C10"/>
    <mergeCell ref="C11:D11"/>
    <mergeCell ref="C12:D12"/>
    <mergeCell ref="B14:D14"/>
    <mergeCell ref="B15:D15"/>
    <mergeCell ref="C13:D13"/>
    <mergeCell ref="B4:B13"/>
    <mergeCell ref="A1:F1"/>
    <mergeCell ref="A2:D2"/>
    <mergeCell ref="A3:A15"/>
    <mergeCell ref="B3:D3"/>
    <mergeCell ref="C4:D4"/>
  </mergeCells>
  <printOptions/>
  <pageMargins left="0.7874015748031497" right="0.7480314960629921" top="0.984251968503937" bottom="0.984251968503937" header="0.5118110236220472" footer="0.5118110236220472"/>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R32"/>
  <sheetViews>
    <sheetView zoomScale="80" zoomScaleNormal="80" zoomScalePageLayoutView="0" workbookViewId="0" topLeftCell="A1">
      <selection activeCell="A1" sqref="A1:F1"/>
    </sheetView>
  </sheetViews>
  <sheetFormatPr defaultColWidth="9.00390625" defaultRowHeight="13.5"/>
  <cols>
    <col min="1" max="3" width="2.125" style="7" customWidth="1"/>
    <col min="4" max="4" width="17.625" style="7" customWidth="1"/>
    <col min="5" max="6" width="14.875" style="7" customWidth="1"/>
    <col min="7" max="7" width="12.875" style="7" customWidth="1"/>
    <col min="8" max="9" width="13.875" style="7" customWidth="1"/>
    <col min="10" max="10" width="12.875" style="7" customWidth="1"/>
    <col min="11" max="11" width="11.875" style="7" customWidth="1"/>
    <col min="12" max="12" width="12.875" style="7" customWidth="1"/>
    <col min="13" max="14" width="10.75390625" style="7" customWidth="1"/>
    <col min="15" max="16" width="11.625" style="7" bestFit="1" customWidth="1"/>
    <col min="17" max="18" width="13.875" style="7" bestFit="1" customWidth="1"/>
    <col min="19" max="16384" width="9.00390625" style="7" customWidth="1"/>
  </cols>
  <sheetData>
    <row r="1" spans="1:18" ht="21" customHeight="1" thickBot="1">
      <c r="A1" s="1024" t="s">
        <v>57</v>
      </c>
      <c r="B1" s="1024"/>
      <c r="C1" s="1024"/>
      <c r="D1" s="1024"/>
      <c r="E1" s="1024"/>
      <c r="F1" s="1024"/>
      <c r="R1" s="22" t="s">
        <v>58</v>
      </c>
    </row>
    <row r="2" spans="1:18" ht="15" customHeight="1">
      <c r="A2" s="1025" t="s">
        <v>44</v>
      </c>
      <c r="B2" s="1026"/>
      <c r="C2" s="1026"/>
      <c r="D2" s="1027"/>
      <c r="E2" s="1034" t="s">
        <v>59</v>
      </c>
      <c r="F2" s="1037" t="s">
        <v>60</v>
      </c>
      <c r="G2" s="1037"/>
      <c r="H2" s="1037"/>
      <c r="I2" s="1037"/>
      <c r="J2" s="1037"/>
      <c r="K2" s="1037"/>
      <c r="L2" s="1037"/>
      <c r="M2" s="1037"/>
      <c r="N2" s="1037"/>
      <c r="O2" s="1037"/>
      <c r="P2" s="417"/>
      <c r="Q2" s="1004" t="s">
        <v>61</v>
      </c>
      <c r="R2" s="1007" t="s">
        <v>62</v>
      </c>
    </row>
    <row r="3" spans="1:18" ht="15" customHeight="1">
      <c r="A3" s="1028"/>
      <c r="B3" s="1029"/>
      <c r="C3" s="1029"/>
      <c r="D3" s="1030"/>
      <c r="E3" s="1035"/>
      <c r="F3" s="1010" t="s">
        <v>63</v>
      </c>
      <c r="G3" s="1012" t="s">
        <v>30</v>
      </c>
      <c r="H3" s="1014" t="s">
        <v>31</v>
      </c>
      <c r="I3" s="1014" t="s">
        <v>32</v>
      </c>
      <c r="J3" s="1016" t="s">
        <v>241</v>
      </c>
      <c r="K3" s="1016" t="s">
        <v>64</v>
      </c>
      <c r="L3" s="1016" t="s">
        <v>65</v>
      </c>
      <c r="M3" s="1016" t="s">
        <v>66</v>
      </c>
      <c r="N3" s="1038" t="s">
        <v>67</v>
      </c>
      <c r="O3" s="1040" t="s">
        <v>39</v>
      </c>
      <c r="P3" s="979" t="s">
        <v>324</v>
      </c>
      <c r="Q3" s="1005"/>
      <c r="R3" s="1008"/>
    </row>
    <row r="4" spans="1:18" ht="15" customHeight="1" thickBot="1">
      <c r="A4" s="1031"/>
      <c r="B4" s="1032"/>
      <c r="C4" s="1032"/>
      <c r="D4" s="1033"/>
      <c r="E4" s="1036"/>
      <c r="F4" s="1011"/>
      <c r="G4" s="1013"/>
      <c r="H4" s="1015"/>
      <c r="I4" s="1015"/>
      <c r="J4" s="1017"/>
      <c r="K4" s="1017"/>
      <c r="L4" s="1017"/>
      <c r="M4" s="1017"/>
      <c r="N4" s="1039"/>
      <c r="O4" s="1041"/>
      <c r="P4" s="980"/>
      <c r="Q4" s="1006"/>
      <c r="R4" s="1009"/>
    </row>
    <row r="5" spans="1:18" ht="19.5" customHeight="1" thickBot="1">
      <c r="A5" s="1018" t="s">
        <v>68</v>
      </c>
      <c r="B5" s="1019"/>
      <c r="C5" s="1019"/>
      <c r="D5" s="1020"/>
      <c r="E5" s="26">
        <f>F5+Q5+R5</f>
        <v>184853627</v>
      </c>
      <c r="F5" s="209">
        <f>F7+F11+F12</f>
        <v>155155034</v>
      </c>
      <c r="G5" s="24">
        <f>G7+G11+G12</f>
        <v>1644298</v>
      </c>
      <c r="H5" s="24">
        <f>H7+H11+H12</f>
        <v>68862366</v>
      </c>
      <c r="I5" s="24">
        <f aca="true" t="shared" si="0" ref="I5:R5">I7+I11+I12</f>
        <v>38922117</v>
      </c>
      <c r="J5" s="24">
        <f t="shared" si="0"/>
        <v>9820800</v>
      </c>
      <c r="K5" s="24">
        <f t="shared" si="0"/>
        <v>31278749</v>
      </c>
      <c r="L5" s="24">
        <f t="shared" si="0"/>
        <v>896539</v>
      </c>
      <c r="M5" s="24">
        <f t="shared" si="0"/>
        <v>177018</v>
      </c>
      <c r="N5" s="24">
        <f t="shared" si="0"/>
        <v>2236940</v>
      </c>
      <c r="O5" s="418">
        <f t="shared" si="0"/>
        <v>246601</v>
      </c>
      <c r="P5" s="25">
        <f>P7+P11+P12</f>
        <v>1069606</v>
      </c>
      <c r="Q5" s="26">
        <f>Q7+Q11+Q12+Q13</f>
        <v>17731350</v>
      </c>
      <c r="R5" s="26">
        <f t="shared" si="0"/>
        <v>11967243</v>
      </c>
    </row>
    <row r="6" spans="1:18" ht="19.5" customHeight="1" thickTop="1">
      <c r="A6" s="1021" t="s">
        <v>69</v>
      </c>
      <c r="B6" s="1022"/>
      <c r="C6" s="1022"/>
      <c r="D6" s="1023"/>
      <c r="E6" s="27"/>
      <c r="F6" s="28"/>
      <c r="G6" s="29"/>
      <c r="H6" s="30"/>
      <c r="I6" s="30"/>
      <c r="J6" s="30"/>
      <c r="K6" s="30"/>
      <c r="L6" s="30"/>
      <c r="M6" s="30"/>
      <c r="N6" s="30"/>
      <c r="O6" s="31"/>
      <c r="P6" s="422"/>
      <c r="Q6" s="166"/>
      <c r="R6" s="166"/>
    </row>
    <row r="7" spans="1:18" ht="19.5" customHeight="1">
      <c r="A7" s="999"/>
      <c r="B7" s="990" t="s">
        <v>70</v>
      </c>
      <c r="C7" s="991"/>
      <c r="D7" s="992"/>
      <c r="E7" s="23">
        <f aca="true" t="shared" si="1" ref="E7:E13">F7+Q7+R7</f>
        <v>177758089</v>
      </c>
      <c r="F7" s="210">
        <f aca="true" t="shared" si="2" ref="F7:F12">SUM(G7:P7)</f>
        <v>149431164</v>
      </c>
      <c r="G7" s="32">
        <f>SUM(G8:G10)</f>
        <v>1581598</v>
      </c>
      <c r="H7" s="32">
        <f>SUM(H8:H10)</f>
        <v>65431294</v>
      </c>
      <c r="I7" s="32">
        <f>SUM(I8:I10)</f>
        <v>36917319</v>
      </c>
      <c r="J7" s="32">
        <f aca="true" t="shared" si="3" ref="J7:R7">SUM(J8:J10)</f>
        <v>9820800</v>
      </c>
      <c r="K7" s="32">
        <f t="shared" si="3"/>
        <v>31192749</v>
      </c>
      <c r="L7" s="32">
        <f t="shared" si="3"/>
        <v>896539</v>
      </c>
      <c r="M7" s="32">
        <f t="shared" si="3"/>
        <v>177018</v>
      </c>
      <c r="N7" s="32">
        <f>SUM(N8:N10)</f>
        <v>2236940</v>
      </c>
      <c r="O7" s="36">
        <f t="shared" si="3"/>
        <v>246601</v>
      </c>
      <c r="P7" s="18">
        <f>SUM(P8:P10)</f>
        <v>930306</v>
      </c>
      <c r="Q7" s="23">
        <f t="shared" si="3"/>
        <v>16487682</v>
      </c>
      <c r="R7" s="23">
        <f t="shared" si="3"/>
        <v>11839243</v>
      </c>
    </row>
    <row r="8" spans="1:18" ht="19.5" customHeight="1">
      <c r="A8" s="1000"/>
      <c r="B8" s="939"/>
      <c r="C8" s="990" t="s">
        <v>71</v>
      </c>
      <c r="D8" s="992"/>
      <c r="E8" s="23">
        <f>F8+Q8+R8</f>
        <v>23908608</v>
      </c>
      <c r="F8" s="210">
        <f t="shared" si="2"/>
        <v>23501852</v>
      </c>
      <c r="G8" s="32">
        <f>'表２１－１'!$I11</f>
        <v>3881</v>
      </c>
      <c r="H8" s="16">
        <f>'表２１－１'!$I12</f>
        <v>13683061</v>
      </c>
      <c r="I8" s="16">
        <f>'表２１－１'!$I13</f>
        <v>7908569</v>
      </c>
      <c r="J8" s="16">
        <f>'表２１－１'!$I14</f>
        <v>1258862</v>
      </c>
      <c r="K8" s="16">
        <f>'表２１－１'!$I15</f>
        <v>399673</v>
      </c>
      <c r="L8" s="16">
        <f>'表２１－１'!$I16</f>
        <v>5392</v>
      </c>
      <c r="M8" s="16">
        <f>'表２１－１'!$I17</f>
        <v>2908</v>
      </c>
      <c r="N8" s="16">
        <f>'表２１－１'!$I18</f>
        <v>184275</v>
      </c>
      <c r="O8" s="17">
        <f>'表２１－１'!$I19</f>
        <v>25294</v>
      </c>
      <c r="P8" s="18">
        <f>'表２１－１'!$I22</f>
        <v>29937</v>
      </c>
      <c r="Q8" s="23">
        <f>'表２１－１'!I25</f>
        <v>303415</v>
      </c>
      <c r="R8" s="23">
        <f>'表２１－１'!I37</f>
        <v>103341</v>
      </c>
    </row>
    <row r="9" spans="1:18" ht="19.5" customHeight="1">
      <c r="A9" s="1000"/>
      <c r="B9" s="940"/>
      <c r="C9" s="990" t="s">
        <v>258</v>
      </c>
      <c r="D9" s="992"/>
      <c r="E9" s="23">
        <f t="shared" si="1"/>
        <v>101011268</v>
      </c>
      <c r="F9" s="210">
        <f t="shared" si="2"/>
        <v>94711638</v>
      </c>
      <c r="G9" s="32">
        <f>'表２１－１'!$M11</f>
        <v>8373</v>
      </c>
      <c r="H9" s="16">
        <f>'表２１－１'!$M12</f>
        <v>32905437</v>
      </c>
      <c r="I9" s="16">
        <f>'表２１－１'!$M13</f>
        <v>19050821</v>
      </c>
      <c r="J9" s="16">
        <f>'表２１－１'!$M14</f>
        <v>8561938</v>
      </c>
      <c r="K9" s="16">
        <f>'表２１－１'!$M15</f>
        <v>30793076</v>
      </c>
      <c r="L9" s="16">
        <f>'表２１－１'!$M16</f>
        <v>891147</v>
      </c>
      <c r="M9" s="16">
        <f>'表２１－１'!$M17</f>
        <v>174110</v>
      </c>
      <c r="N9" s="16">
        <f>'表２１－１'!$M18</f>
        <v>2052665</v>
      </c>
      <c r="O9" s="17">
        <f>'表２１－１'!$M19</f>
        <v>221307</v>
      </c>
      <c r="P9" s="18">
        <f>'表２１－１'!$M22</f>
        <v>52764</v>
      </c>
      <c r="Q9" s="23">
        <f>'表２１－１'!M25</f>
        <v>2069641</v>
      </c>
      <c r="R9" s="23">
        <f>'表２１－１'!M37</f>
        <v>4229989</v>
      </c>
    </row>
    <row r="10" spans="1:18" ht="19.5" customHeight="1">
      <c r="A10" s="1000"/>
      <c r="B10" s="944"/>
      <c r="C10" s="990" t="s">
        <v>72</v>
      </c>
      <c r="D10" s="992"/>
      <c r="E10" s="23">
        <f t="shared" si="1"/>
        <v>52838213</v>
      </c>
      <c r="F10" s="210">
        <f t="shared" si="2"/>
        <v>31217674</v>
      </c>
      <c r="G10" s="32">
        <f>'表２１－１'!$Q11</f>
        <v>1569344</v>
      </c>
      <c r="H10" s="16">
        <f>'表２１－１'!$Q12</f>
        <v>18842796</v>
      </c>
      <c r="I10" s="16">
        <f>'表２１－１'!$Q13</f>
        <v>9957929</v>
      </c>
      <c r="J10" s="16">
        <f>'表２１－１'!$Q14</f>
        <v>0</v>
      </c>
      <c r="K10" s="16">
        <f>'表２１－１'!$Q15</f>
        <v>0</v>
      </c>
      <c r="L10" s="16">
        <f>'表２１－１'!$Q16</f>
        <v>0</v>
      </c>
      <c r="M10" s="16">
        <f>'表２１－１'!$Q17</f>
        <v>0</v>
      </c>
      <c r="N10" s="16">
        <f>'表２１－１'!$Q18</f>
        <v>0</v>
      </c>
      <c r="O10" s="17">
        <f>'表２１－１'!$Q19</f>
        <v>0</v>
      </c>
      <c r="P10" s="18">
        <f>'表２１－１'!$Q22</f>
        <v>847605</v>
      </c>
      <c r="Q10" s="23">
        <f>'表２１－１'!Q25</f>
        <v>14114626</v>
      </c>
      <c r="R10" s="23">
        <f>'表２１－１'!Q37</f>
        <v>7505913</v>
      </c>
    </row>
    <row r="11" spans="1:18" ht="19.5" customHeight="1">
      <c r="A11" s="1000"/>
      <c r="B11" s="990" t="s">
        <v>73</v>
      </c>
      <c r="C11" s="991"/>
      <c r="D11" s="992"/>
      <c r="E11" s="23">
        <f t="shared" si="1"/>
        <v>7070550</v>
      </c>
      <c r="F11" s="210">
        <f t="shared" si="2"/>
        <v>5723290</v>
      </c>
      <c r="G11" s="32">
        <f>'表２１－１'!$U11</f>
        <v>62700</v>
      </c>
      <c r="H11" s="16">
        <f>'表２１－１'!$U12</f>
        <v>3430742</v>
      </c>
      <c r="I11" s="16">
        <f>'表２１－１'!$U13</f>
        <v>2004548</v>
      </c>
      <c r="J11" s="16">
        <f>'表２１－１'!$U14</f>
        <v>0</v>
      </c>
      <c r="K11" s="16">
        <f>'表２１－１'!$U15</f>
        <v>86000</v>
      </c>
      <c r="L11" s="16">
        <f>'表２１－１'!$U16</f>
        <v>0</v>
      </c>
      <c r="M11" s="16">
        <f>'表２１－１'!$U17</f>
        <v>0</v>
      </c>
      <c r="N11" s="16">
        <f>'表２１－１'!$U18</f>
        <v>0</v>
      </c>
      <c r="O11" s="17">
        <f>'表２１－１'!$U19</f>
        <v>0</v>
      </c>
      <c r="P11" s="18">
        <f>'表２１－１'!$U22</f>
        <v>139300</v>
      </c>
      <c r="Q11" s="23">
        <f>'表２１－１'!U25</f>
        <v>1219360</v>
      </c>
      <c r="R11" s="23">
        <f>'表２１－１'!U37</f>
        <v>127900</v>
      </c>
    </row>
    <row r="12" spans="1:18" ht="19.5" customHeight="1">
      <c r="A12" s="1000"/>
      <c r="B12" s="969" t="s">
        <v>259</v>
      </c>
      <c r="C12" s="1002"/>
      <c r="D12" s="1003"/>
      <c r="E12" s="174">
        <f t="shared" si="1"/>
        <v>800</v>
      </c>
      <c r="F12" s="211">
        <f t="shared" si="2"/>
        <v>580</v>
      </c>
      <c r="G12" s="32">
        <f>'表２１－１'!$Y11</f>
        <v>0</v>
      </c>
      <c r="H12" s="16">
        <f>'表２１－１'!$Y12</f>
        <v>330</v>
      </c>
      <c r="I12" s="16">
        <f>'表２１－１'!$Y13</f>
        <v>250</v>
      </c>
      <c r="J12" s="16">
        <f>'表２１－１'!$Y14</f>
        <v>0</v>
      </c>
      <c r="K12" s="16">
        <f>'表２１－１'!$Y15</f>
        <v>0</v>
      </c>
      <c r="L12" s="16">
        <f>'表２１－１'!$Y16</f>
        <v>0</v>
      </c>
      <c r="M12" s="16">
        <f>'表２１－１'!$Y17</f>
        <v>0</v>
      </c>
      <c r="N12" s="16">
        <f>'表２１－１'!$Y18</f>
        <v>0</v>
      </c>
      <c r="O12" s="17">
        <f>'表２１－１'!$Y19</f>
        <v>0</v>
      </c>
      <c r="P12" s="18">
        <f>'表２１－１'!$Y22</f>
        <v>0</v>
      </c>
      <c r="Q12" s="174">
        <f>'表２１－１'!Y25</f>
        <v>120</v>
      </c>
      <c r="R12" s="174">
        <f>'表２１－１'!Y37</f>
        <v>100</v>
      </c>
    </row>
    <row r="13" spans="1:18" ht="19.5" customHeight="1" thickBot="1">
      <c r="A13" s="1000"/>
      <c r="B13" s="969" t="s">
        <v>260</v>
      </c>
      <c r="C13" s="1002"/>
      <c r="D13" s="1003"/>
      <c r="E13" s="174">
        <f t="shared" si="1"/>
        <v>24188</v>
      </c>
      <c r="F13" s="212"/>
      <c r="G13" s="139"/>
      <c r="H13" s="169"/>
      <c r="I13" s="169"/>
      <c r="J13" s="169"/>
      <c r="K13" s="169"/>
      <c r="L13" s="169"/>
      <c r="M13" s="169"/>
      <c r="N13" s="169"/>
      <c r="O13" s="213"/>
      <c r="P13" s="423"/>
      <c r="Q13" s="174">
        <f>'表２１－１'!E45</f>
        <v>24188</v>
      </c>
      <c r="R13" s="214"/>
    </row>
    <row r="14" spans="1:18" ht="19.5" customHeight="1" thickTop="1">
      <c r="A14" s="996" t="s">
        <v>74</v>
      </c>
      <c r="B14" s="997"/>
      <c r="C14" s="997"/>
      <c r="D14" s="998"/>
      <c r="E14" s="166">
        <f>E15+E23+E28</f>
        <v>184853627</v>
      </c>
      <c r="F14" s="215">
        <f>F15+F23+F28</f>
        <v>155155034</v>
      </c>
      <c r="G14" s="216">
        <f>G15+G23+G28</f>
        <v>1644298</v>
      </c>
      <c r="H14" s="167">
        <f aca="true" t="shared" si="4" ref="H14:R14">H15+H23+H28</f>
        <v>68862366</v>
      </c>
      <c r="I14" s="167">
        <f t="shared" si="4"/>
        <v>38922117</v>
      </c>
      <c r="J14" s="167">
        <f t="shared" si="4"/>
        <v>9820800</v>
      </c>
      <c r="K14" s="167">
        <f t="shared" si="4"/>
        <v>31278749</v>
      </c>
      <c r="L14" s="167">
        <f t="shared" si="4"/>
        <v>896539</v>
      </c>
      <c r="M14" s="167">
        <f t="shared" si="4"/>
        <v>177018</v>
      </c>
      <c r="N14" s="167">
        <f t="shared" si="4"/>
        <v>2236940</v>
      </c>
      <c r="O14" s="419">
        <f t="shared" si="4"/>
        <v>246601</v>
      </c>
      <c r="P14" s="168">
        <f t="shared" si="4"/>
        <v>1069606</v>
      </c>
      <c r="Q14" s="168">
        <f t="shared" si="4"/>
        <v>17731350</v>
      </c>
      <c r="R14" s="168">
        <f t="shared" si="4"/>
        <v>11967243</v>
      </c>
    </row>
    <row r="15" spans="1:18" ht="19.5" customHeight="1">
      <c r="A15" s="999"/>
      <c r="B15" s="990" t="s">
        <v>75</v>
      </c>
      <c r="C15" s="991"/>
      <c r="D15" s="992"/>
      <c r="E15" s="23">
        <f>F15+Q15+R15</f>
        <v>155506132</v>
      </c>
      <c r="F15" s="217">
        <f>SUM(G15:P15)</f>
        <v>130605849</v>
      </c>
      <c r="G15" s="218">
        <f>G16+G19+G20+G21+G22</f>
        <v>1460184</v>
      </c>
      <c r="H15" s="16">
        <f aca="true" t="shared" si="5" ref="H15:O15">H16+H19+H20+H21+H22</f>
        <v>56463656</v>
      </c>
      <c r="I15" s="16">
        <f t="shared" si="5"/>
        <v>31550447</v>
      </c>
      <c r="J15" s="16">
        <f t="shared" si="5"/>
        <v>9391819</v>
      </c>
      <c r="K15" s="16">
        <f t="shared" si="5"/>
        <v>27394796</v>
      </c>
      <c r="L15" s="16">
        <f t="shared" si="5"/>
        <v>895678</v>
      </c>
      <c r="M15" s="16">
        <f t="shared" si="5"/>
        <v>177018</v>
      </c>
      <c r="N15" s="16">
        <f t="shared" si="5"/>
        <v>2189438</v>
      </c>
      <c r="O15" s="17">
        <f t="shared" si="5"/>
        <v>216093</v>
      </c>
      <c r="P15" s="18">
        <f>P16+P19+P20+P21+P22</f>
        <v>866720</v>
      </c>
      <c r="Q15" s="23">
        <f>'表２１－１'!I62</f>
        <v>13132645</v>
      </c>
      <c r="R15" s="23">
        <f>'表２１－１'!I74</f>
        <v>11767638</v>
      </c>
    </row>
    <row r="16" spans="1:18" ht="19.5" customHeight="1">
      <c r="A16" s="1000"/>
      <c r="B16" s="939"/>
      <c r="C16" s="990" t="s">
        <v>76</v>
      </c>
      <c r="D16" s="992"/>
      <c r="E16" s="23">
        <f>F16+Q16+R16</f>
        <v>113693925</v>
      </c>
      <c r="F16" s="217">
        <f aca="true" t="shared" si="6" ref="F16:F28">SUM(G16:P16)</f>
        <v>109294448</v>
      </c>
      <c r="G16" s="218">
        <f>SUM(G17:G18)</f>
        <v>1259370</v>
      </c>
      <c r="H16" s="16">
        <f aca="true" t="shared" si="7" ref="H16:O16">SUM(H17:H18)</f>
        <v>46706578</v>
      </c>
      <c r="I16" s="16">
        <f t="shared" si="7"/>
        <v>26553997</v>
      </c>
      <c r="J16" s="16">
        <f t="shared" si="7"/>
        <v>8739112</v>
      </c>
      <c r="K16" s="16">
        <f t="shared" si="7"/>
        <v>22162716</v>
      </c>
      <c r="L16" s="16">
        <f t="shared" si="7"/>
        <v>863066</v>
      </c>
      <c r="M16" s="16">
        <f t="shared" si="7"/>
        <v>164734</v>
      </c>
      <c r="N16" s="16">
        <f t="shared" si="7"/>
        <v>1919699</v>
      </c>
      <c r="O16" s="17">
        <f t="shared" si="7"/>
        <v>168851</v>
      </c>
      <c r="P16" s="18">
        <f>SUM(P17:P18)</f>
        <v>756325</v>
      </c>
      <c r="Q16" s="23">
        <v>4399477</v>
      </c>
      <c r="R16" s="33"/>
    </row>
    <row r="17" spans="1:18" ht="19.5" customHeight="1">
      <c r="A17" s="1000"/>
      <c r="B17" s="940"/>
      <c r="C17" s="939"/>
      <c r="D17" s="140" t="s">
        <v>77</v>
      </c>
      <c r="E17" s="23">
        <f aca="true" t="shared" si="8" ref="E17:E28">F17+Q17+R17</f>
        <v>71276456</v>
      </c>
      <c r="F17" s="210">
        <f t="shared" si="6"/>
        <v>71276456</v>
      </c>
      <c r="G17" s="32">
        <f>'表８'!F8</f>
        <v>823140</v>
      </c>
      <c r="H17" s="16">
        <f>'表９'!F8</f>
        <v>30604270</v>
      </c>
      <c r="I17" s="16">
        <f>'表１０'!F8</f>
        <v>17415440</v>
      </c>
      <c r="J17" s="16">
        <f>'表１１'!F8</f>
        <v>5209265</v>
      </c>
      <c r="K17" s="16">
        <f>'表１２'!F8</f>
        <v>14473357</v>
      </c>
      <c r="L17" s="16">
        <f>'表１３'!F8</f>
        <v>863066</v>
      </c>
      <c r="M17" s="16">
        <f>'表１４'!F8</f>
        <v>112156</v>
      </c>
      <c r="N17" s="16">
        <f>'表１５'!F8</f>
        <v>1272079</v>
      </c>
      <c r="O17" s="17">
        <f>'表１６'!F8</f>
        <v>95426</v>
      </c>
      <c r="P17" s="18">
        <f>'表１７'!F8</f>
        <v>408257</v>
      </c>
      <c r="Q17" s="37"/>
      <c r="R17" s="33"/>
    </row>
    <row r="18" spans="1:18" ht="19.5" customHeight="1">
      <c r="A18" s="1000"/>
      <c r="B18" s="940"/>
      <c r="C18" s="944"/>
      <c r="D18" s="140" t="s">
        <v>78</v>
      </c>
      <c r="E18" s="23">
        <f t="shared" si="8"/>
        <v>38017992</v>
      </c>
      <c r="F18" s="210">
        <f t="shared" si="6"/>
        <v>38017992</v>
      </c>
      <c r="G18" s="32">
        <f>'表８'!F9</f>
        <v>436230</v>
      </c>
      <c r="H18" s="32">
        <f>'表９'!F9</f>
        <v>16102308</v>
      </c>
      <c r="I18" s="32">
        <f>'表１０'!F9</f>
        <v>9138557</v>
      </c>
      <c r="J18" s="32">
        <f>'表１１'!F9</f>
        <v>3529847</v>
      </c>
      <c r="K18" s="32">
        <f>'表１２'!F9</f>
        <v>7689359</v>
      </c>
      <c r="L18" s="32">
        <f>'表１３'!F9</f>
        <v>0</v>
      </c>
      <c r="M18" s="32">
        <f>'表１４'!F9</f>
        <v>52578</v>
      </c>
      <c r="N18" s="32">
        <f>'表１５'!F9</f>
        <v>647620</v>
      </c>
      <c r="O18" s="17">
        <f>'表１６'!F9</f>
        <v>73425</v>
      </c>
      <c r="P18" s="18">
        <f>'表１７'!F9</f>
        <v>348068</v>
      </c>
      <c r="Q18" s="37"/>
      <c r="R18" s="33"/>
    </row>
    <row r="19" spans="1:18" ht="19.5" customHeight="1">
      <c r="A19" s="1000"/>
      <c r="B19" s="940"/>
      <c r="C19" s="990" t="s">
        <v>79</v>
      </c>
      <c r="D19" s="992"/>
      <c r="E19" s="23">
        <f t="shared" si="8"/>
        <v>3562794</v>
      </c>
      <c r="F19" s="210">
        <f t="shared" si="6"/>
        <v>3562794</v>
      </c>
      <c r="G19" s="32">
        <f>'表８'!F10</f>
        <v>21574</v>
      </c>
      <c r="H19" s="32">
        <f>'表９'!F10</f>
        <v>1779119</v>
      </c>
      <c r="I19" s="32">
        <f>'表１０'!F10</f>
        <v>945198</v>
      </c>
      <c r="J19" s="32">
        <f>'表１１'!F10</f>
        <v>120746</v>
      </c>
      <c r="K19" s="32">
        <f>'表１２'!F10</f>
        <v>618877</v>
      </c>
      <c r="L19" s="32">
        <f>'表１３'!F10</f>
        <v>3480</v>
      </c>
      <c r="M19" s="32">
        <f>'表１４'!F10</f>
        <v>3064</v>
      </c>
      <c r="N19" s="32">
        <f>'表１５'!F10</f>
        <v>34440</v>
      </c>
      <c r="O19" s="17">
        <f>'表１６'!F10</f>
        <v>13681</v>
      </c>
      <c r="P19" s="18">
        <f>'表１７'!F10</f>
        <v>22615</v>
      </c>
      <c r="Q19" s="37"/>
      <c r="R19" s="33"/>
    </row>
    <row r="20" spans="1:18" ht="19.5" customHeight="1">
      <c r="A20" s="1000"/>
      <c r="B20" s="940"/>
      <c r="C20" s="990" t="s">
        <v>80</v>
      </c>
      <c r="D20" s="992"/>
      <c r="E20" s="23">
        <f t="shared" si="8"/>
        <v>8305498</v>
      </c>
      <c r="F20" s="210">
        <f t="shared" si="6"/>
        <v>8305498</v>
      </c>
      <c r="G20" s="32">
        <f>'表８'!F11</f>
        <v>108441</v>
      </c>
      <c r="H20" s="16">
        <f>'表９'!F11</f>
        <v>4163064</v>
      </c>
      <c r="I20" s="16">
        <f>'表１０'!F11</f>
        <v>2048628</v>
      </c>
      <c r="J20" s="16">
        <f>'表１１'!F11</f>
        <v>271278</v>
      </c>
      <c r="K20" s="16">
        <f>'表１２'!F11</f>
        <v>1561652</v>
      </c>
      <c r="L20" s="16">
        <f>'表１３'!F11</f>
        <v>3748</v>
      </c>
      <c r="M20" s="16">
        <f>'表１４'!F11</f>
        <v>412</v>
      </c>
      <c r="N20" s="16">
        <f>'表１５'!F11</f>
        <v>66846</v>
      </c>
      <c r="O20" s="17">
        <f>'表１６'!F11</f>
        <v>32979</v>
      </c>
      <c r="P20" s="18">
        <f>'表１７'!F11</f>
        <v>48450</v>
      </c>
      <c r="Q20" s="37"/>
      <c r="R20" s="33"/>
    </row>
    <row r="21" spans="1:18" ht="19.5" customHeight="1">
      <c r="A21" s="1000"/>
      <c r="B21" s="940"/>
      <c r="C21" s="990" t="s">
        <v>81</v>
      </c>
      <c r="D21" s="992"/>
      <c r="E21" s="23">
        <f t="shared" si="8"/>
        <v>8993438</v>
      </c>
      <c r="F21" s="210">
        <f t="shared" si="6"/>
        <v>8993438</v>
      </c>
      <c r="G21" s="32">
        <f>'表８'!F12</f>
        <v>59872</v>
      </c>
      <c r="H21" s="16">
        <f>'表９'!F12</f>
        <v>3583714</v>
      </c>
      <c r="I21" s="16">
        <f>'表１０'!F12</f>
        <v>1884508</v>
      </c>
      <c r="J21" s="16">
        <f>'表１１'!F12</f>
        <v>256511</v>
      </c>
      <c r="K21" s="16">
        <f>'表１２'!F12</f>
        <v>2974733</v>
      </c>
      <c r="L21" s="16">
        <f>'表１３'!F12</f>
        <v>24410</v>
      </c>
      <c r="M21" s="16">
        <f>'表１４'!F12</f>
        <v>8659</v>
      </c>
      <c r="N21" s="16">
        <f>'表１５'!F12</f>
        <v>163845</v>
      </c>
      <c r="O21" s="17">
        <f>'表１６'!F12</f>
        <v>0</v>
      </c>
      <c r="P21" s="18">
        <f>'表１７'!F12</f>
        <v>37186</v>
      </c>
      <c r="Q21" s="37"/>
      <c r="R21" s="33"/>
    </row>
    <row r="22" spans="1:18" ht="19.5" customHeight="1">
      <c r="A22" s="1000"/>
      <c r="B22" s="944"/>
      <c r="C22" s="990" t="s">
        <v>82</v>
      </c>
      <c r="D22" s="992"/>
      <c r="E22" s="23">
        <f t="shared" si="8"/>
        <v>449671</v>
      </c>
      <c r="F22" s="210">
        <f t="shared" si="6"/>
        <v>449671</v>
      </c>
      <c r="G22" s="32">
        <f>'表８'!F13</f>
        <v>10927</v>
      </c>
      <c r="H22" s="16">
        <f>'表９'!F13</f>
        <v>231181</v>
      </c>
      <c r="I22" s="16">
        <f>'表１０'!F13</f>
        <v>118116</v>
      </c>
      <c r="J22" s="16">
        <f>'表１１'!F13</f>
        <v>4172</v>
      </c>
      <c r="K22" s="16">
        <f>'表１２'!F13</f>
        <v>76818</v>
      </c>
      <c r="L22" s="16">
        <f>'表１３'!F13</f>
        <v>974</v>
      </c>
      <c r="M22" s="16">
        <f>'表１４'!F13</f>
        <v>149</v>
      </c>
      <c r="N22" s="16">
        <f>'表１５'!F13</f>
        <v>4608</v>
      </c>
      <c r="O22" s="17">
        <f>'表１６'!F13</f>
        <v>582</v>
      </c>
      <c r="P22" s="18">
        <f>'表１７'!F13</f>
        <v>2144</v>
      </c>
      <c r="Q22" s="37"/>
      <c r="R22" s="33"/>
    </row>
    <row r="23" spans="1:18" ht="19.5" customHeight="1">
      <c r="A23" s="1000"/>
      <c r="B23" s="990" t="s">
        <v>83</v>
      </c>
      <c r="C23" s="991"/>
      <c r="D23" s="992"/>
      <c r="E23" s="23">
        <f t="shared" si="8"/>
        <v>20414440</v>
      </c>
      <c r="F23" s="217">
        <f t="shared" si="6"/>
        <v>17099097</v>
      </c>
      <c r="G23" s="218">
        <f>SUM(G24:G27)</f>
        <v>121569</v>
      </c>
      <c r="H23" s="16">
        <f aca="true" t="shared" si="9" ref="H23:M23">SUM(H24:H27)</f>
        <v>8785677</v>
      </c>
      <c r="I23" s="16">
        <f>SUM(I24:I27)</f>
        <v>4939995</v>
      </c>
      <c r="J23" s="16">
        <f t="shared" si="9"/>
        <v>177031</v>
      </c>
      <c r="K23" s="16">
        <f t="shared" si="9"/>
        <v>2829420</v>
      </c>
      <c r="L23" s="16">
        <f t="shared" si="9"/>
        <v>861</v>
      </c>
      <c r="M23" s="16">
        <f t="shared" si="9"/>
        <v>0</v>
      </c>
      <c r="N23" s="16">
        <f>SUM(N24:N27)</f>
        <v>11660</v>
      </c>
      <c r="O23" s="17">
        <f>SUM(O24:O27)</f>
        <v>30508</v>
      </c>
      <c r="P23" s="18">
        <f>SUM(P24:P27)</f>
        <v>202376</v>
      </c>
      <c r="Q23" s="23">
        <f>'表２１－１'!M62</f>
        <v>3134771</v>
      </c>
      <c r="R23" s="23">
        <f>'表２１－１'!M74</f>
        <v>180572</v>
      </c>
    </row>
    <row r="24" spans="1:18" ht="19.5" customHeight="1">
      <c r="A24" s="1000"/>
      <c r="B24" s="939"/>
      <c r="C24" s="990" t="s">
        <v>84</v>
      </c>
      <c r="D24" s="992"/>
      <c r="E24" s="23">
        <f t="shared" si="8"/>
        <v>3509</v>
      </c>
      <c r="F24" s="210">
        <f t="shared" si="6"/>
        <v>3509</v>
      </c>
      <c r="G24" s="219">
        <v>0</v>
      </c>
      <c r="H24" s="43">
        <v>3509</v>
      </c>
      <c r="I24" s="43">
        <v>0</v>
      </c>
      <c r="J24" s="43">
        <v>0</v>
      </c>
      <c r="K24" s="43">
        <v>0</v>
      </c>
      <c r="L24" s="43">
        <v>0</v>
      </c>
      <c r="M24" s="43">
        <v>0</v>
      </c>
      <c r="N24" s="43">
        <v>0</v>
      </c>
      <c r="O24" s="452">
        <v>0</v>
      </c>
      <c r="P24" s="123">
        <v>0</v>
      </c>
      <c r="Q24" s="37"/>
      <c r="R24" s="33"/>
    </row>
    <row r="25" spans="1:18" ht="19.5" customHeight="1">
      <c r="A25" s="1000"/>
      <c r="B25" s="940"/>
      <c r="C25" s="990" t="s">
        <v>85</v>
      </c>
      <c r="D25" s="992"/>
      <c r="E25" s="23">
        <f t="shared" si="8"/>
        <v>8190283</v>
      </c>
      <c r="F25" s="210">
        <f t="shared" si="6"/>
        <v>8190283</v>
      </c>
      <c r="G25" s="219">
        <v>56997</v>
      </c>
      <c r="H25" s="43">
        <v>4115881</v>
      </c>
      <c r="I25" s="43">
        <v>2655496</v>
      </c>
      <c r="J25" s="43">
        <v>114821</v>
      </c>
      <c r="K25" s="43">
        <v>1042742</v>
      </c>
      <c r="L25" s="43">
        <v>484</v>
      </c>
      <c r="M25" s="43">
        <v>0</v>
      </c>
      <c r="N25" s="43">
        <v>7357</v>
      </c>
      <c r="O25" s="452">
        <v>0</v>
      </c>
      <c r="P25" s="123">
        <v>196505</v>
      </c>
      <c r="Q25" s="37"/>
      <c r="R25" s="33"/>
    </row>
    <row r="26" spans="1:18" ht="19.5" customHeight="1">
      <c r="A26" s="1000"/>
      <c r="B26" s="940"/>
      <c r="C26" s="990" t="s">
        <v>86</v>
      </c>
      <c r="D26" s="992"/>
      <c r="E26" s="23">
        <f t="shared" si="8"/>
        <v>8786681</v>
      </c>
      <c r="F26" s="210">
        <f t="shared" si="6"/>
        <v>8786681</v>
      </c>
      <c r="G26" s="219">
        <v>63634</v>
      </c>
      <c r="H26" s="43">
        <v>4581059</v>
      </c>
      <c r="I26" s="43">
        <v>2259223</v>
      </c>
      <c r="J26" s="43">
        <v>61513</v>
      </c>
      <c r="K26" s="43">
        <v>1780582</v>
      </c>
      <c r="L26" s="43">
        <v>373</v>
      </c>
      <c r="M26" s="43">
        <v>0</v>
      </c>
      <c r="N26" s="43">
        <v>4032</v>
      </c>
      <c r="O26" s="452">
        <v>30508</v>
      </c>
      <c r="P26" s="123">
        <v>5757</v>
      </c>
      <c r="Q26" s="37"/>
      <c r="R26" s="33"/>
    </row>
    <row r="27" spans="1:18" ht="19.5" customHeight="1">
      <c r="A27" s="1000"/>
      <c r="B27" s="944"/>
      <c r="C27" s="990" t="s">
        <v>87</v>
      </c>
      <c r="D27" s="992"/>
      <c r="E27" s="23">
        <f t="shared" si="8"/>
        <v>118624</v>
      </c>
      <c r="F27" s="210">
        <f t="shared" si="6"/>
        <v>118624</v>
      </c>
      <c r="G27" s="219">
        <v>938</v>
      </c>
      <c r="H27" s="43">
        <v>85228</v>
      </c>
      <c r="I27" s="43">
        <v>25276</v>
      </c>
      <c r="J27" s="43">
        <v>697</v>
      </c>
      <c r="K27" s="43">
        <v>6096</v>
      </c>
      <c r="L27" s="43">
        <v>4</v>
      </c>
      <c r="M27" s="43">
        <v>0</v>
      </c>
      <c r="N27" s="43">
        <v>271</v>
      </c>
      <c r="O27" s="452">
        <v>0</v>
      </c>
      <c r="P27" s="123">
        <v>114</v>
      </c>
      <c r="Q27" s="37"/>
      <c r="R27" s="33"/>
    </row>
    <row r="28" spans="1:18" ht="19.5" customHeight="1">
      <c r="A28" s="1000"/>
      <c r="B28" s="981" t="s">
        <v>88</v>
      </c>
      <c r="C28" s="982"/>
      <c r="D28" s="983"/>
      <c r="E28" s="174">
        <f t="shared" si="8"/>
        <v>8933055</v>
      </c>
      <c r="F28" s="211">
        <f t="shared" si="6"/>
        <v>7450088</v>
      </c>
      <c r="G28" s="403">
        <f>'表８'!F15</f>
        <v>62545</v>
      </c>
      <c r="H28" s="404">
        <f>'表９'!F15</f>
        <v>3613033</v>
      </c>
      <c r="I28" s="404">
        <f>'表１０'!F15</f>
        <v>2431675</v>
      </c>
      <c r="J28" s="404">
        <f>'表１１'!F15</f>
        <v>251950</v>
      </c>
      <c r="K28" s="404">
        <f>'表１２'!F15</f>
        <v>1054533</v>
      </c>
      <c r="L28" s="404">
        <f>'表１３'!F15</f>
        <v>0</v>
      </c>
      <c r="M28" s="404">
        <f>'表１４'!F15</f>
        <v>0</v>
      </c>
      <c r="N28" s="404">
        <f>'表１５'!F15</f>
        <v>35842</v>
      </c>
      <c r="O28" s="404">
        <f>'表１６'!F15</f>
        <v>0</v>
      </c>
      <c r="P28" s="454">
        <f>'表１７'!F15</f>
        <v>510</v>
      </c>
      <c r="Q28" s="23">
        <f>'表２１－１'!Q62</f>
        <v>1463934</v>
      </c>
      <c r="R28" s="174">
        <f>'表２１－１'!Q74</f>
        <v>19033</v>
      </c>
    </row>
    <row r="29" spans="1:18" ht="19.5" customHeight="1" thickBot="1">
      <c r="A29" s="1001"/>
      <c r="B29" s="993" t="s">
        <v>301</v>
      </c>
      <c r="C29" s="994"/>
      <c r="D29" s="995"/>
      <c r="E29" s="405"/>
      <c r="F29" s="406"/>
      <c r="G29" s="400"/>
      <c r="H29" s="401"/>
      <c r="I29" s="401"/>
      <c r="J29" s="401"/>
      <c r="K29" s="401"/>
      <c r="L29" s="401"/>
      <c r="M29" s="401"/>
      <c r="N29" s="401"/>
      <c r="O29" s="420"/>
      <c r="P29" s="402"/>
      <c r="Q29" s="405"/>
      <c r="R29" s="34">
        <f>'表１８'!O16+'表１８'!O28</f>
        <v>71017</v>
      </c>
    </row>
    <row r="30" spans="1:18" ht="19.5" customHeight="1" thickBot="1" thickTop="1">
      <c r="A30" s="984" t="s">
        <v>89</v>
      </c>
      <c r="B30" s="985"/>
      <c r="C30" s="985"/>
      <c r="D30" s="986"/>
      <c r="E30" s="39"/>
      <c r="F30" s="220">
        <f>ROUND(F5*1000/F31,0)</f>
        <v>1196132</v>
      </c>
      <c r="G30" s="221">
        <f>ROUND(G5*1000/G31,0)</f>
        <v>1209932</v>
      </c>
      <c r="H30" s="221">
        <f aca="true" t="shared" si="10" ref="H30:R30">ROUND(H5*1000/H31,0)</f>
        <v>1027183</v>
      </c>
      <c r="I30" s="221">
        <f t="shared" si="10"/>
        <v>1221929</v>
      </c>
      <c r="J30" s="221">
        <f>ROUND(J5*1000/J31,0)</f>
        <v>6551568</v>
      </c>
      <c r="K30" s="221">
        <f t="shared" si="10"/>
        <v>1330275</v>
      </c>
      <c r="L30" s="221">
        <f t="shared" si="10"/>
        <v>2668271</v>
      </c>
      <c r="M30" s="221">
        <f t="shared" si="10"/>
        <v>424504</v>
      </c>
      <c r="N30" s="221">
        <f t="shared" si="10"/>
        <v>909325</v>
      </c>
      <c r="O30" s="421">
        <f t="shared" si="10"/>
        <v>2740011</v>
      </c>
      <c r="P30" s="222">
        <f>ROUND(P5*1000/P31,0)</f>
        <v>932525</v>
      </c>
      <c r="Q30" s="223">
        <f>ROUND(Q5*1000/Q31,0)</f>
        <v>13073</v>
      </c>
      <c r="R30" s="224">
        <f t="shared" si="10"/>
        <v>8823</v>
      </c>
    </row>
    <row r="31" spans="1:18" ht="19.5" customHeight="1" thickBot="1" thickTop="1">
      <c r="A31" s="987" t="s">
        <v>90</v>
      </c>
      <c r="B31" s="988"/>
      <c r="C31" s="988"/>
      <c r="D31" s="989"/>
      <c r="E31" s="40"/>
      <c r="F31" s="225">
        <f>SUM(G31:P31)</f>
        <v>129714</v>
      </c>
      <c r="G31" s="478">
        <v>1359</v>
      </c>
      <c r="H31" s="243">
        <v>67040</v>
      </c>
      <c r="I31" s="243">
        <v>31853</v>
      </c>
      <c r="J31" s="243">
        <v>1499</v>
      </c>
      <c r="K31" s="243">
        <f>23485+28</f>
        <v>23513</v>
      </c>
      <c r="L31" s="243">
        <v>336</v>
      </c>
      <c r="M31" s="243">
        <v>417</v>
      </c>
      <c r="N31" s="243">
        <v>2460</v>
      </c>
      <c r="O31" s="479">
        <v>90</v>
      </c>
      <c r="P31" s="244">
        <v>1147</v>
      </c>
      <c r="Q31" s="424">
        <v>1356343</v>
      </c>
      <c r="R31" s="425">
        <v>1356343</v>
      </c>
    </row>
    <row r="32" ht="19.5" customHeight="1">
      <c r="A32" s="7" t="s">
        <v>334</v>
      </c>
    </row>
  </sheetData>
  <sheetProtection/>
  <mergeCells count="48">
    <mergeCell ref="A5:D5"/>
    <mergeCell ref="A6:D6"/>
    <mergeCell ref="A1:F1"/>
    <mergeCell ref="A2:D4"/>
    <mergeCell ref="E2:E4"/>
    <mergeCell ref="F2:O2"/>
    <mergeCell ref="N3:N4"/>
    <mergeCell ref="O3:O4"/>
    <mergeCell ref="Q2:Q4"/>
    <mergeCell ref="R2:R4"/>
    <mergeCell ref="F3:F4"/>
    <mergeCell ref="G3:G4"/>
    <mergeCell ref="H3:H4"/>
    <mergeCell ref="I3:I4"/>
    <mergeCell ref="J3:J4"/>
    <mergeCell ref="K3:K4"/>
    <mergeCell ref="L3:L4"/>
    <mergeCell ref="M3:M4"/>
    <mergeCell ref="A15:A29"/>
    <mergeCell ref="A7:A13"/>
    <mergeCell ref="B7:D7"/>
    <mergeCell ref="B8:B10"/>
    <mergeCell ref="C8:D8"/>
    <mergeCell ref="C9:D9"/>
    <mergeCell ref="C10:D10"/>
    <mergeCell ref="B11:D11"/>
    <mergeCell ref="B13:D13"/>
    <mergeCell ref="B12:D12"/>
    <mergeCell ref="B29:D29"/>
    <mergeCell ref="A14:D14"/>
    <mergeCell ref="B15:D15"/>
    <mergeCell ref="B16:B22"/>
    <mergeCell ref="C16:D16"/>
    <mergeCell ref="C17:C18"/>
    <mergeCell ref="C19:D19"/>
    <mergeCell ref="C20:D20"/>
    <mergeCell ref="C21:D21"/>
    <mergeCell ref="C22:D22"/>
    <mergeCell ref="P3:P4"/>
    <mergeCell ref="B28:D28"/>
    <mergeCell ref="A30:D30"/>
    <mergeCell ref="A31:D31"/>
    <mergeCell ref="B23:D23"/>
    <mergeCell ref="B24:B27"/>
    <mergeCell ref="C24:D24"/>
    <mergeCell ref="C25:D25"/>
    <mergeCell ref="C26:D26"/>
    <mergeCell ref="C27:D27"/>
  </mergeCells>
  <printOptions/>
  <pageMargins left="0.5511811023622047" right="0.6692913385826772" top="0.984251968503937" bottom="0.984251968503937" header="0.5118110236220472" footer="0.5118110236220472"/>
  <pageSetup fitToHeight="0" fitToWidth="1" horizontalDpi="300" verticalDpi="300" orientation="landscape" paperSize="8" scale="96" r:id="rId1"/>
</worksheet>
</file>

<file path=xl/worksheets/sheet6.xml><?xml version="1.0" encoding="utf-8"?>
<worksheet xmlns="http://schemas.openxmlformats.org/spreadsheetml/2006/main" xmlns:r="http://schemas.openxmlformats.org/officeDocument/2006/relationships">
  <sheetPr codeName="Sheet6"/>
  <dimension ref="A1:L19"/>
  <sheetViews>
    <sheetView zoomScalePageLayoutView="0" workbookViewId="0" topLeftCell="A1">
      <selection activeCell="A1" sqref="A1:F1"/>
    </sheetView>
  </sheetViews>
  <sheetFormatPr defaultColWidth="9.00390625" defaultRowHeight="13.5"/>
  <cols>
    <col min="1" max="2" width="2.125" style="7" customWidth="1"/>
    <col min="3" max="3" width="2.625" style="7" customWidth="1"/>
    <col min="4" max="4" width="16.75390625" style="7" customWidth="1"/>
    <col min="5" max="6" width="14.875" style="7" bestFit="1" customWidth="1"/>
    <col min="7" max="9" width="13.125" style="7" customWidth="1"/>
    <col min="10" max="10" width="11.875" style="7" customWidth="1"/>
    <col min="11" max="12" width="10.375" style="7" customWidth="1"/>
    <col min="13" max="16384" width="9.00390625" style="7" customWidth="1"/>
  </cols>
  <sheetData>
    <row r="1" spans="1:12" ht="21" customHeight="1" thickBot="1">
      <c r="A1" s="917" t="s">
        <v>91</v>
      </c>
      <c r="B1" s="917"/>
      <c r="C1" s="917"/>
      <c r="D1" s="917"/>
      <c r="E1" s="917"/>
      <c r="F1" s="917"/>
      <c r="J1" s="1059" t="s">
        <v>58</v>
      </c>
      <c r="K1" s="1059"/>
      <c r="L1" s="1059"/>
    </row>
    <row r="2" spans="1:12" ht="15.75" customHeight="1">
      <c r="A2" s="1069" t="s">
        <v>92</v>
      </c>
      <c r="B2" s="1070"/>
      <c r="C2" s="1070"/>
      <c r="D2" s="1071"/>
      <c r="E2" s="1053" t="s">
        <v>28</v>
      </c>
      <c r="F2" s="1048" t="s">
        <v>93</v>
      </c>
      <c r="G2" s="1049"/>
      <c r="H2" s="1049"/>
      <c r="I2" s="1050"/>
      <c r="J2" s="1053" t="s">
        <v>94</v>
      </c>
      <c r="K2" s="1066" t="s">
        <v>261</v>
      </c>
      <c r="L2" s="1060" t="s">
        <v>262</v>
      </c>
    </row>
    <row r="3" spans="1:12" ht="15.75" customHeight="1">
      <c r="A3" s="1072"/>
      <c r="B3" s="1073"/>
      <c r="C3" s="1073"/>
      <c r="D3" s="1074"/>
      <c r="E3" s="1054"/>
      <c r="F3" s="1063" t="s">
        <v>95</v>
      </c>
      <c r="G3" s="1063" t="s">
        <v>46</v>
      </c>
      <c r="H3" s="1064" t="s">
        <v>257</v>
      </c>
      <c r="I3" s="1063" t="s">
        <v>47</v>
      </c>
      <c r="J3" s="1054"/>
      <c r="K3" s="1067"/>
      <c r="L3" s="1061"/>
    </row>
    <row r="4" spans="1:12" ht="15.75" customHeight="1">
      <c r="A4" s="1075"/>
      <c r="B4" s="1076"/>
      <c r="C4" s="1076"/>
      <c r="D4" s="1077"/>
      <c r="E4" s="1055"/>
      <c r="F4" s="1055"/>
      <c r="G4" s="1055"/>
      <c r="H4" s="1065"/>
      <c r="I4" s="1055"/>
      <c r="J4" s="1055"/>
      <c r="K4" s="1068"/>
      <c r="L4" s="1062"/>
    </row>
    <row r="5" spans="1:12" ht="24.75" customHeight="1">
      <c r="A5" s="1043" t="s">
        <v>28</v>
      </c>
      <c r="B5" s="962"/>
      <c r="C5" s="962"/>
      <c r="D5" s="962"/>
      <c r="E5" s="226">
        <f>F5+J5+K5+L5</f>
        <v>184853627</v>
      </c>
      <c r="F5" s="226">
        <f>SUM(G5:I5)</f>
        <v>177758089</v>
      </c>
      <c r="G5" s="226">
        <f aca="true" t="shared" si="0" ref="G5:L5">G6+G18+G19</f>
        <v>23908608</v>
      </c>
      <c r="H5" s="226">
        <f t="shared" si="0"/>
        <v>101011268</v>
      </c>
      <c r="I5" s="226">
        <f t="shared" si="0"/>
        <v>52838213</v>
      </c>
      <c r="J5" s="226">
        <f t="shared" si="0"/>
        <v>7070550</v>
      </c>
      <c r="K5" s="227">
        <f t="shared" si="0"/>
        <v>800</v>
      </c>
      <c r="L5" s="228">
        <f t="shared" si="0"/>
        <v>24188</v>
      </c>
    </row>
    <row r="6" spans="1:12" ht="24.75" customHeight="1">
      <c r="A6" s="1044"/>
      <c r="B6" s="971" t="s">
        <v>29</v>
      </c>
      <c r="C6" s="971"/>
      <c r="D6" s="971"/>
      <c r="E6" s="20">
        <f aca="true" t="shared" si="1" ref="E6:E13">F6+J6+K6+L6</f>
        <v>155155034</v>
      </c>
      <c r="F6" s="20">
        <f>SUM(G6:I6)</f>
        <v>149431164</v>
      </c>
      <c r="G6" s="20">
        <f aca="true" t="shared" si="2" ref="G6:L6">SUM(G7:G10,G14,G15,G16,G17)</f>
        <v>23501852</v>
      </c>
      <c r="H6" s="20">
        <f t="shared" si="2"/>
        <v>94711638</v>
      </c>
      <c r="I6" s="20">
        <f t="shared" si="2"/>
        <v>31217674</v>
      </c>
      <c r="J6" s="20">
        <f t="shared" si="2"/>
        <v>5723290</v>
      </c>
      <c r="K6" s="229">
        <f t="shared" si="2"/>
        <v>580</v>
      </c>
      <c r="L6" s="230">
        <f t="shared" si="2"/>
        <v>0</v>
      </c>
    </row>
    <row r="7" spans="1:12" ht="24.75" customHeight="1">
      <c r="A7" s="1045"/>
      <c r="B7" s="958"/>
      <c r="C7" s="965" t="s">
        <v>96</v>
      </c>
      <c r="D7" s="965"/>
      <c r="E7" s="16">
        <f t="shared" si="1"/>
        <v>1644298</v>
      </c>
      <c r="F7" s="16">
        <f>SUM(G7:I7)</f>
        <v>1581598</v>
      </c>
      <c r="G7" s="32">
        <f>'表５'!G8</f>
        <v>3881</v>
      </c>
      <c r="H7" s="32">
        <f>'表５'!G9</f>
        <v>8373</v>
      </c>
      <c r="I7" s="32">
        <f>'表５'!G10</f>
        <v>1569344</v>
      </c>
      <c r="J7" s="32">
        <f>'表５'!G11</f>
        <v>62700</v>
      </c>
      <c r="K7" s="32">
        <f>'表５'!G12</f>
        <v>0</v>
      </c>
      <c r="L7" s="377"/>
    </row>
    <row r="8" spans="1:12" ht="24.75" customHeight="1">
      <c r="A8" s="1045"/>
      <c r="B8" s="959"/>
      <c r="C8" s="965" t="s">
        <v>97</v>
      </c>
      <c r="D8" s="965"/>
      <c r="E8" s="16">
        <f t="shared" si="1"/>
        <v>68862366</v>
      </c>
      <c r="F8" s="16">
        <f aca="true" t="shared" si="3" ref="F8:F19">SUM(G8:I8)</f>
        <v>65431294</v>
      </c>
      <c r="G8" s="16">
        <f>'表５'!H8</f>
        <v>13683061</v>
      </c>
      <c r="H8" s="16">
        <f>'表５'!H9</f>
        <v>32905437</v>
      </c>
      <c r="I8" s="16">
        <f>'表５'!H10</f>
        <v>18842796</v>
      </c>
      <c r="J8" s="16">
        <f>'表５'!H11</f>
        <v>3430742</v>
      </c>
      <c r="K8" s="16">
        <f>'表５'!H12</f>
        <v>330</v>
      </c>
      <c r="L8" s="377"/>
    </row>
    <row r="9" spans="1:12" ht="24.75" customHeight="1">
      <c r="A9" s="1045"/>
      <c r="B9" s="959"/>
      <c r="C9" s="965" t="s">
        <v>98</v>
      </c>
      <c r="D9" s="965"/>
      <c r="E9" s="16">
        <f t="shared" si="1"/>
        <v>38922117</v>
      </c>
      <c r="F9" s="16">
        <f t="shared" si="3"/>
        <v>36917319</v>
      </c>
      <c r="G9" s="16">
        <f>'表５'!I8</f>
        <v>7908569</v>
      </c>
      <c r="H9" s="16">
        <f>'表５'!I9</f>
        <v>19050821</v>
      </c>
      <c r="I9" s="16">
        <f>'表５'!I10</f>
        <v>9957929</v>
      </c>
      <c r="J9" s="16">
        <f>'表５'!I11</f>
        <v>2004548</v>
      </c>
      <c r="K9" s="16">
        <f>'表５'!I12</f>
        <v>250</v>
      </c>
      <c r="L9" s="377"/>
    </row>
    <row r="10" spans="1:12" ht="24.75" customHeight="1">
      <c r="A10" s="1045"/>
      <c r="B10" s="959"/>
      <c r="C10" s="1047" t="s">
        <v>242</v>
      </c>
      <c r="D10" s="1047"/>
      <c r="E10" s="16">
        <f t="shared" si="1"/>
        <v>9820800</v>
      </c>
      <c r="F10" s="16">
        <f t="shared" si="3"/>
        <v>9820800</v>
      </c>
      <c r="G10" s="16">
        <f>'表５'!J8</f>
        <v>1258862</v>
      </c>
      <c r="H10" s="16">
        <f>'表５'!J9</f>
        <v>8561938</v>
      </c>
      <c r="I10" s="16">
        <f>'表５'!J10</f>
        <v>0</v>
      </c>
      <c r="J10" s="16">
        <f>'表５'!J11</f>
        <v>0</v>
      </c>
      <c r="K10" s="16">
        <f>'表５'!J12</f>
        <v>0</v>
      </c>
      <c r="L10" s="377"/>
    </row>
    <row r="11" spans="1:12" ht="24.75" customHeight="1">
      <c r="A11" s="1045"/>
      <c r="B11" s="959"/>
      <c r="C11" s="1056" t="s">
        <v>99</v>
      </c>
      <c r="D11" s="10" t="s">
        <v>34</v>
      </c>
      <c r="E11" s="16">
        <f t="shared" si="1"/>
        <v>31278749</v>
      </c>
      <c r="F11" s="16">
        <f t="shared" si="3"/>
        <v>31192749</v>
      </c>
      <c r="G11" s="16">
        <f>'表５'!K8</f>
        <v>399673</v>
      </c>
      <c r="H11" s="16">
        <f>'表５'!K9</f>
        <v>30793076</v>
      </c>
      <c r="I11" s="16">
        <f>'表５'!K10</f>
        <v>0</v>
      </c>
      <c r="J11" s="16">
        <f>'表５'!K11</f>
        <v>86000</v>
      </c>
      <c r="K11" s="16">
        <f>'表５'!K12</f>
        <v>0</v>
      </c>
      <c r="L11" s="377"/>
    </row>
    <row r="12" spans="1:12" ht="24.75" customHeight="1">
      <c r="A12" s="1045"/>
      <c r="B12" s="959"/>
      <c r="C12" s="1057"/>
      <c r="D12" s="10" t="s">
        <v>35</v>
      </c>
      <c r="E12" s="16">
        <f t="shared" si="1"/>
        <v>896539</v>
      </c>
      <c r="F12" s="16">
        <f t="shared" si="3"/>
        <v>896539</v>
      </c>
      <c r="G12" s="16">
        <f>'表５'!L8</f>
        <v>5392</v>
      </c>
      <c r="H12" s="16">
        <f>'表５'!L9</f>
        <v>891147</v>
      </c>
      <c r="I12" s="16">
        <f>'表５'!L10</f>
        <v>0</v>
      </c>
      <c r="J12" s="16">
        <f>'表５'!L11</f>
        <v>0</v>
      </c>
      <c r="K12" s="16">
        <f>'表５'!L12</f>
        <v>0</v>
      </c>
      <c r="L12" s="377"/>
    </row>
    <row r="13" spans="1:12" ht="24.75" customHeight="1">
      <c r="A13" s="1045"/>
      <c r="B13" s="959"/>
      <c r="C13" s="1057"/>
      <c r="D13" s="10" t="s">
        <v>36</v>
      </c>
      <c r="E13" s="16">
        <f t="shared" si="1"/>
        <v>177018</v>
      </c>
      <c r="F13" s="16">
        <f t="shared" si="3"/>
        <v>177018</v>
      </c>
      <c r="G13" s="16">
        <f>'表５'!M8</f>
        <v>2908</v>
      </c>
      <c r="H13" s="16">
        <f>'表５'!M9</f>
        <v>174110</v>
      </c>
      <c r="I13" s="16">
        <f>'表５'!M10</f>
        <v>0</v>
      </c>
      <c r="J13" s="16">
        <f>'表５'!M11</f>
        <v>0</v>
      </c>
      <c r="K13" s="16">
        <f>'表５'!M12</f>
        <v>0</v>
      </c>
      <c r="L13" s="377"/>
    </row>
    <row r="14" spans="1:12" ht="24.75" customHeight="1">
      <c r="A14" s="1045"/>
      <c r="B14" s="959"/>
      <c r="C14" s="1058"/>
      <c r="D14" s="10" t="s">
        <v>37</v>
      </c>
      <c r="E14" s="16">
        <f aca="true" t="shared" si="4" ref="E14:K14">SUM(E11:E13)</f>
        <v>32352306</v>
      </c>
      <c r="F14" s="16">
        <f t="shared" si="4"/>
        <v>32266306</v>
      </c>
      <c r="G14" s="16">
        <f t="shared" si="4"/>
        <v>407973</v>
      </c>
      <c r="H14" s="16">
        <f t="shared" si="4"/>
        <v>31858333</v>
      </c>
      <c r="I14" s="16">
        <f t="shared" si="4"/>
        <v>0</v>
      </c>
      <c r="J14" s="16">
        <f t="shared" si="4"/>
        <v>86000</v>
      </c>
      <c r="K14" s="16">
        <f t="shared" si="4"/>
        <v>0</v>
      </c>
      <c r="L14" s="377"/>
    </row>
    <row r="15" spans="1:12" ht="24.75" customHeight="1">
      <c r="A15" s="1045"/>
      <c r="B15" s="959"/>
      <c r="C15" s="1051" t="s">
        <v>100</v>
      </c>
      <c r="D15" s="1052"/>
      <c r="E15" s="16">
        <f>F15+J15+K15+L15</f>
        <v>2236940</v>
      </c>
      <c r="F15" s="16">
        <f>SUM(G15:I15)</f>
        <v>2236940</v>
      </c>
      <c r="G15" s="16">
        <f>'表５'!N8</f>
        <v>184275</v>
      </c>
      <c r="H15" s="16">
        <f>'表５'!N9</f>
        <v>2052665</v>
      </c>
      <c r="I15" s="16">
        <f>'表５'!N10</f>
        <v>0</v>
      </c>
      <c r="J15" s="16">
        <f>'表５'!N11</f>
        <v>0</v>
      </c>
      <c r="K15" s="16">
        <f>'表５'!N12</f>
        <v>0</v>
      </c>
      <c r="L15" s="377"/>
    </row>
    <row r="16" spans="1:12" ht="24.75" customHeight="1">
      <c r="A16" s="1045"/>
      <c r="B16" s="959"/>
      <c r="C16" s="965" t="s">
        <v>101</v>
      </c>
      <c r="D16" s="965"/>
      <c r="E16" s="16">
        <f>F16+J16+K16+L16</f>
        <v>246601</v>
      </c>
      <c r="F16" s="16">
        <f t="shared" si="3"/>
        <v>246601</v>
      </c>
      <c r="G16" s="17">
        <f>'表５'!O8</f>
        <v>25294</v>
      </c>
      <c r="H16" s="17">
        <f>'表５'!O9</f>
        <v>221307</v>
      </c>
      <c r="I16" s="17">
        <f>'表５'!O10</f>
        <v>0</v>
      </c>
      <c r="J16" s="17">
        <f>'表５'!O11</f>
        <v>0</v>
      </c>
      <c r="K16" s="17">
        <f>'表５'!O12</f>
        <v>0</v>
      </c>
      <c r="L16" s="377"/>
    </row>
    <row r="17" spans="1:12" ht="24.75" customHeight="1">
      <c r="A17" s="1045"/>
      <c r="B17" s="964"/>
      <c r="C17" s="965" t="s">
        <v>317</v>
      </c>
      <c r="D17" s="965"/>
      <c r="E17" s="16">
        <f>F17+J17+K17+L17</f>
        <v>1069606</v>
      </c>
      <c r="F17" s="16">
        <f>SUM(G17:I17)</f>
        <v>930306</v>
      </c>
      <c r="G17" s="17">
        <f>'表５'!P8</f>
        <v>29937</v>
      </c>
      <c r="H17" s="17">
        <f>'表５'!P9</f>
        <v>52764</v>
      </c>
      <c r="I17" s="17">
        <f>'表５'!P10</f>
        <v>847605</v>
      </c>
      <c r="J17" s="17">
        <f>'表５'!P11</f>
        <v>139300</v>
      </c>
      <c r="K17" s="17">
        <f>'表５'!P12</f>
        <v>0</v>
      </c>
      <c r="L17" s="377"/>
    </row>
    <row r="18" spans="1:12" ht="24.75" customHeight="1">
      <c r="A18" s="1045"/>
      <c r="B18" s="966" t="s">
        <v>40</v>
      </c>
      <c r="C18" s="966"/>
      <c r="D18" s="966"/>
      <c r="E18" s="44">
        <f>F18+J18+K18+L18</f>
        <v>17731350</v>
      </c>
      <c r="F18" s="44">
        <f t="shared" si="3"/>
        <v>16487682</v>
      </c>
      <c r="G18" s="44">
        <f>'表５'!Q8</f>
        <v>303415</v>
      </c>
      <c r="H18" s="44">
        <f>'表５'!Q9</f>
        <v>2069641</v>
      </c>
      <c r="I18" s="44">
        <f>'表５'!Q10</f>
        <v>14114626</v>
      </c>
      <c r="J18" s="44">
        <f>'表５'!Q11</f>
        <v>1219360</v>
      </c>
      <c r="K18" s="44">
        <f>'表５'!Q12</f>
        <v>120</v>
      </c>
      <c r="L18" s="231">
        <f>'表５'!Q13</f>
        <v>24188</v>
      </c>
    </row>
    <row r="19" spans="1:12" ht="24.75" customHeight="1" thickBot="1">
      <c r="A19" s="1046"/>
      <c r="B19" s="1042" t="s">
        <v>41</v>
      </c>
      <c r="C19" s="1042"/>
      <c r="D19" s="1042"/>
      <c r="E19" s="45">
        <f>F19+J19+K19+L19</f>
        <v>11967243</v>
      </c>
      <c r="F19" s="45">
        <f t="shared" si="3"/>
        <v>11839243</v>
      </c>
      <c r="G19" s="45">
        <f>'表５'!R8</f>
        <v>103341</v>
      </c>
      <c r="H19" s="45">
        <f>'表５'!R9</f>
        <v>4229989</v>
      </c>
      <c r="I19" s="45">
        <f>'表５'!R10</f>
        <v>7505913</v>
      </c>
      <c r="J19" s="45">
        <f>'表５'!R11</f>
        <v>127900</v>
      </c>
      <c r="K19" s="45">
        <f>'表５'!R12</f>
        <v>100</v>
      </c>
      <c r="L19" s="378"/>
    </row>
  </sheetData>
  <sheetProtection/>
  <mergeCells count="26">
    <mergeCell ref="J1:L1"/>
    <mergeCell ref="L2:L4"/>
    <mergeCell ref="F3:F4"/>
    <mergeCell ref="G3:G4"/>
    <mergeCell ref="H3:H4"/>
    <mergeCell ref="I3:I4"/>
    <mergeCell ref="K2:K4"/>
    <mergeCell ref="A1:F1"/>
    <mergeCell ref="A2:D4"/>
    <mergeCell ref="E2:E4"/>
    <mergeCell ref="F2:I2"/>
    <mergeCell ref="C15:D15"/>
    <mergeCell ref="J2:J4"/>
    <mergeCell ref="C16:D16"/>
    <mergeCell ref="C11:C14"/>
    <mergeCell ref="B18:D18"/>
    <mergeCell ref="B7:B17"/>
    <mergeCell ref="B19:D19"/>
    <mergeCell ref="A5:D5"/>
    <mergeCell ref="A6:A19"/>
    <mergeCell ref="B6:D6"/>
    <mergeCell ref="C7:D7"/>
    <mergeCell ref="C8:D8"/>
    <mergeCell ref="C9:D9"/>
    <mergeCell ref="C10:D10"/>
    <mergeCell ref="C17:D17"/>
  </mergeCells>
  <printOptions/>
  <pageMargins left="0.67" right="0.66" top="1" bottom="1" header="0.512" footer="0.512"/>
  <pageSetup horizontalDpi="300" verticalDpi="300" orientation="landscape" paperSize="9" scale="90" r:id="rId1"/>
</worksheet>
</file>

<file path=xl/worksheets/sheet7.xml><?xml version="1.0" encoding="utf-8"?>
<worksheet xmlns="http://schemas.openxmlformats.org/spreadsheetml/2006/main" xmlns:r="http://schemas.openxmlformats.org/officeDocument/2006/relationships">
  <sheetPr codeName="Sheet7"/>
  <dimension ref="A1:L21"/>
  <sheetViews>
    <sheetView zoomScalePageLayoutView="0" workbookViewId="0" topLeftCell="A1">
      <selection activeCell="A1" sqref="A1:I1"/>
    </sheetView>
  </sheetViews>
  <sheetFormatPr defaultColWidth="9.00390625" defaultRowHeight="13.5"/>
  <cols>
    <col min="1" max="2" width="2.125" style="7" customWidth="1"/>
    <col min="3" max="3" width="2.625" style="7" customWidth="1"/>
    <col min="4" max="4" width="16.75390625" style="7" customWidth="1"/>
    <col min="5" max="6" width="14.875" style="7" bestFit="1" customWidth="1"/>
    <col min="7" max="9" width="13.125" style="7" customWidth="1"/>
    <col min="10" max="10" width="11.875" style="7" customWidth="1"/>
    <col min="11" max="12" width="10.375" style="7" customWidth="1"/>
    <col min="13" max="16384" width="9.00390625" style="7" customWidth="1"/>
  </cols>
  <sheetData>
    <row r="1" spans="1:12" ht="21" customHeight="1" thickBot="1">
      <c r="A1" s="917" t="s">
        <v>102</v>
      </c>
      <c r="B1" s="917"/>
      <c r="C1" s="917"/>
      <c r="D1" s="917"/>
      <c r="E1" s="917"/>
      <c r="F1" s="917"/>
      <c r="G1" s="917"/>
      <c r="H1" s="917"/>
      <c r="I1" s="917"/>
      <c r="J1" s="1059"/>
      <c r="K1" s="1059"/>
      <c r="L1" s="1059" t="s">
        <v>278</v>
      </c>
    </row>
    <row r="2" spans="1:12" ht="15.75" customHeight="1">
      <c r="A2" s="1069" t="s">
        <v>92</v>
      </c>
      <c r="B2" s="1070"/>
      <c r="C2" s="1070"/>
      <c r="D2" s="1071"/>
      <c r="E2" s="1084" t="s">
        <v>28</v>
      </c>
      <c r="F2" s="1048" t="s">
        <v>93</v>
      </c>
      <c r="G2" s="1049"/>
      <c r="H2" s="1049"/>
      <c r="I2" s="1050"/>
      <c r="J2" s="1053" t="s">
        <v>94</v>
      </c>
      <c r="K2" s="1081" t="s">
        <v>267</v>
      </c>
      <c r="L2" s="1078" t="s">
        <v>262</v>
      </c>
    </row>
    <row r="3" spans="1:12" ht="15.75" customHeight="1">
      <c r="A3" s="1072"/>
      <c r="B3" s="1073"/>
      <c r="C3" s="1073"/>
      <c r="D3" s="1074"/>
      <c r="E3" s="1085"/>
      <c r="F3" s="1063" t="s">
        <v>95</v>
      </c>
      <c r="G3" s="1063" t="s">
        <v>46</v>
      </c>
      <c r="H3" s="1064" t="s">
        <v>257</v>
      </c>
      <c r="I3" s="1063" t="s">
        <v>47</v>
      </c>
      <c r="J3" s="1054"/>
      <c r="K3" s="1082"/>
      <c r="L3" s="1079"/>
    </row>
    <row r="4" spans="1:12" ht="15.75" customHeight="1">
      <c r="A4" s="1075"/>
      <c r="B4" s="1076"/>
      <c r="C4" s="1076"/>
      <c r="D4" s="1077"/>
      <c r="E4" s="1086"/>
      <c r="F4" s="1055"/>
      <c r="G4" s="1055"/>
      <c r="H4" s="1065"/>
      <c r="I4" s="1055"/>
      <c r="J4" s="1055"/>
      <c r="K4" s="1083"/>
      <c r="L4" s="1080"/>
    </row>
    <row r="5" spans="1:12" ht="24.75" customHeight="1">
      <c r="A5" s="1043" t="s">
        <v>28</v>
      </c>
      <c r="B5" s="962"/>
      <c r="C5" s="962"/>
      <c r="D5" s="962"/>
      <c r="E5" s="382"/>
      <c r="F5" s="382"/>
      <c r="G5" s="382"/>
      <c r="H5" s="382"/>
      <c r="I5" s="382"/>
      <c r="J5" s="382"/>
      <c r="K5" s="382"/>
      <c r="L5" s="377"/>
    </row>
    <row r="6" spans="1:12" ht="24.75" customHeight="1">
      <c r="A6" s="1044"/>
      <c r="B6" s="971" t="s">
        <v>29</v>
      </c>
      <c r="C6" s="971"/>
      <c r="D6" s="971"/>
      <c r="E6" s="232">
        <f>ROUND('表６'!E6*1000/'表５'!$F$31,0)</f>
        <v>1196132</v>
      </c>
      <c r="F6" s="232">
        <f>ROUND('表６'!F6*1000/'表５'!$F$31,0)</f>
        <v>1152005</v>
      </c>
      <c r="G6" s="232">
        <f>ROUND('表６'!G6*1000/'表５'!$F$31,0)</f>
        <v>181182</v>
      </c>
      <c r="H6" s="232">
        <f>ROUND('表６'!H6*1000/'表５'!$F$31,0)</f>
        <v>730157</v>
      </c>
      <c r="I6" s="232">
        <f>ROUND('表６'!I6*1000/'表５'!$F$31,0)</f>
        <v>240665</v>
      </c>
      <c r="J6" s="232">
        <f>ROUND('表６'!J6*1000/'表５'!$F$31,0)</f>
        <v>44122</v>
      </c>
      <c r="K6" s="20">
        <f>ROUND('表６'!K6*1000/'表５'!$F$31,0)</f>
        <v>4</v>
      </c>
      <c r="L6" s="179">
        <f>ROUND('表６'!L6*1000/'表５'!$F$31,0)</f>
        <v>0</v>
      </c>
    </row>
    <row r="7" spans="1:12" ht="24.75" customHeight="1">
      <c r="A7" s="1045"/>
      <c r="B7" s="958"/>
      <c r="C7" s="965" t="s">
        <v>96</v>
      </c>
      <c r="D7" s="965"/>
      <c r="E7" s="219">
        <f>ROUND('表６'!E7*1000/'表５'!$G$31,0)</f>
        <v>1209932</v>
      </c>
      <c r="F7" s="219">
        <f>ROUND('表６'!F7*1000/'表５'!$G$31,0)</f>
        <v>1163795</v>
      </c>
      <c r="G7" s="219">
        <f>ROUND('表６'!G7*1000/'表５'!$G$31,0)</f>
        <v>2856</v>
      </c>
      <c r="H7" s="219">
        <f>ROUND('表６'!H7*1000/'表５'!$G$31,0)</f>
        <v>6161</v>
      </c>
      <c r="I7" s="219">
        <f>ROUND('表６'!I7*1000/'表５'!$G$31,0)</f>
        <v>1154779</v>
      </c>
      <c r="J7" s="219">
        <f>ROUND('表６'!J7*1000/'表５'!$G$31,0)</f>
        <v>46137</v>
      </c>
      <c r="K7" s="43">
        <f>ROUND('表６'!K7*1000/'表５'!$G$31,0)</f>
        <v>0</v>
      </c>
      <c r="L7" s="379"/>
    </row>
    <row r="8" spans="1:12" ht="24.75" customHeight="1">
      <c r="A8" s="1045"/>
      <c r="B8" s="959"/>
      <c r="C8" s="965" t="s">
        <v>97</v>
      </c>
      <c r="D8" s="965"/>
      <c r="E8" s="219">
        <f>ROUND('表６'!E8*1000/'表５'!$H$31,0)</f>
        <v>1027183</v>
      </c>
      <c r="F8" s="219">
        <f>ROUND('表６'!F8*1000/'表５'!$H$31,0)</f>
        <v>976004</v>
      </c>
      <c r="G8" s="219">
        <f>ROUND('表６'!G8*1000/'表５'!$H$31,0)</f>
        <v>204103</v>
      </c>
      <c r="H8" s="219">
        <f>ROUND('表６'!H8*1000/'表５'!$H$31,0)</f>
        <v>490833</v>
      </c>
      <c r="I8" s="219">
        <f>ROUND('表６'!I8*1000/'表５'!$H$31,0)</f>
        <v>281068</v>
      </c>
      <c r="J8" s="219">
        <f>ROUND('表６'!J8*1000/'表５'!$H$31,0)</f>
        <v>51175</v>
      </c>
      <c r="K8" s="43">
        <f>ROUND('表６'!K8*1000/'表５'!$H$31,0)</f>
        <v>5</v>
      </c>
      <c r="L8" s="379"/>
    </row>
    <row r="9" spans="1:12" ht="24.75" customHeight="1">
      <c r="A9" s="1045"/>
      <c r="B9" s="959"/>
      <c r="C9" s="965" t="s">
        <v>98</v>
      </c>
      <c r="D9" s="965"/>
      <c r="E9" s="219">
        <f>ROUND('表６'!E9*1000/'表５'!$I$31,0)</f>
        <v>1221929</v>
      </c>
      <c r="F9" s="219">
        <f>ROUND('表６'!F9*1000/'表５'!$I$31,0)</f>
        <v>1158990</v>
      </c>
      <c r="G9" s="219">
        <f>ROUND('表６'!G9*1000/'表５'!$I$31,0)</f>
        <v>248283</v>
      </c>
      <c r="H9" s="219">
        <f>ROUND('表６'!H9*1000/'表５'!$I$31,0)</f>
        <v>598086</v>
      </c>
      <c r="I9" s="219">
        <f>ROUND('表６'!I9*1000/'表５'!$I$31,0)</f>
        <v>312621</v>
      </c>
      <c r="J9" s="219">
        <f>ROUND('表６'!J9*1000/'表５'!$I$31,0)</f>
        <v>62931</v>
      </c>
      <c r="K9" s="43">
        <f>ROUND('表６'!K9*1000/'表５'!$I$31,0)</f>
        <v>8</v>
      </c>
      <c r="L9" s="379"/>
    </row>
    <row r="10" spans="1:12" ht="24.75" customHeight="1">
      <c r="A10" s="1045"/>
      <c r="B10" s="959"/>
      <c r="C10" s="1047" t="s">
        <v>242</v>
      </c>
      <c r="D10" s="1047"/>
      <c r="E10" s="219">
        <f>ROUND('表６'!E10*1000/'表５'!$J$31,0)</f>
        <v>6551568</v>
      </c>
      <c r="F10" s="219">
        <f>ROUND('表６'!F10*1000/'表５'!$J$31,0)</f>
        <v>6551568</v>
      </c>
      <c r="G10" s="219">
        <f>ROUND('表６'!G10*1000/'表５'!$J$31,0)</f>
        <v>839801</v>
      </c>
      <c r="H10" s="219">
        <f>ROUND('表６'!H10*1000/'表５'!$J$31,0)</f>
        <v>5711767</v>
      </c>
      <c r="I10" s="219">
        <f>ROUND('表６'!I10*1000/'表５'!$J$31,0)</f>
        <v>0</v>
      </c>
      <c r="J10" s="219">
        <f>ROUND('表６'!J10*1000/'表５'!$J$31,0)</f>
        <v>0</v>
      </c>
      <c r="K10" s="43">
        <f>ROUND('表６'!K10*1000/'表５'!$J$31,0)</f>
        <v>0</v>
      </c>
      <c r="L10" s="379"/>
    </row>
    <row r="11" spans="1:12" ht="24.75" customHeight="1">
      <c r="A11" s="1045"/>
      <c r="B11" s="959"/>
      <c r="C11" s="1056" t="s">
        <v>99</v>
      </c>
      <c r="D11" s="10" t="s">
        <v>34</v>
      </c>
      <c r="E11" s="219">
        <f>ROUND('表６'!E11*1000/'表５'!$K$31,0)</f>
        <v>1330275</v>
      </c>
      <c r="F11" s="219">
        <f>ROUND('表６'!F11*1000/'表５'!$K$31,0)</f>
        <v>1326617</v>
      </c>
      <c r="G11" s="219">
        <f>ROUND('表６'!G11*1000/'表５'!$K$31,0)</f>
        <v>16998</v>
      </c>
      <c r="H11" s="219">
        <f>ROUND('表６'!H11*1000/'表５'!$K$31,0)</f>
        <v>1309619</v>
      </c>
      <c r="I11" s="219">
        <f>ROUND('表６'!I11*1000/'表５'!$K$31,0)</f>
        <v>0</v>
      </c>
      <c r="J11" s="219">
        <f>ROUND('表６'!J11*1000/'表５'!$K$31,0)</f>
        <v>3658</v>
      </c>
      <c r="K11" s="43">
        <f>ROUND('表６'!K11*1000/'表５'!$K$31,0)</f>
        <v>0</v>
      </c>
      <c r="L11" s="379"/>
    </row>
    <row r="12" spans="1:12" ht="24.75" customHeight="1">
      <c r="A12" s="1045"/>
      <c r="B12" s="959"/>
      <c r="C12" s="1057"/>
      <c r="D12" s="10" t="s">
        <v>35</v>
      </c>
      <c r="E12" s="219">
        <f>ROUND('表６'!E12*1000/'表５'!$L$31,0)</f>
        <v>2668271</v>
      </c>
      <c r="F12" s="219">
        <f>ROUND('表６'!F12*1000/'表５'!$L$31,0)</f>
        <v>2668271</v>
      </c>
      <c r="G12" s="219">
        <f>ROUND('表６'!G12*1000/'表５'!$L$31,0)</f>
        <v>16048</v>
      </c>
      <c r="H12" s="219">
        <f>ROUND('表６'!H12*1000/'表５'!$L$31,0)</f>
        <v>2652223</v>
      </c>
      <c r="I12" s="219">
        <f>ROUND('表６'!I12*1000/'表５'!$L$31,0)</f>
        <v>0</v>
      </c>
      <c r="J12" s="219">
        <f>ROUND('表６'!J12*1000/'表５'!$L$31,0)</f>
        <v>0</v>
      </c>
      <c r="K12" s="43">
        <f>ROUND('表６'!K12*1000/'表５'!$L$31,0)</f>
        <v>0</v>
      </c>
      <c r="L12" s="379"/>
    </row>
    <row r="13" spans="1:12" ht="24.75" customHeight="1">
      <c r="A13" s="1045"/>
      <c r="B13" s="959"/>
      <c r="C13" s="1057"/>
      <c r="D13" s="10" t="s">
        <v>36</v>
      </c>
      <c r="E13" s="219">
        <f>ROUND('表６'!E13*1000/'表５'!$M$31,0)</f>
        <v>424504</v>
      </c>
      <c r="F13" s="219">
        <f>ROUND('表６'!F13*1000/'表５'!$M$31,0)</f>
        <v>424504</v>
      </c>
      <c r="G13" s="219">
        <f>ROUND('表６'!G13*1000/'表５'!$M$31,0)</f>
        <v>6974</v>
      </c>
      <c r="H13" s="219">
        <f>ROUND('表６'!H13*1000/'表５'!$M$31,0)</f>
        <v>417530</v>
      </c>
      <c r="I13" s="219">
        <f>ROUND('表６'!I13*1000/'表５'!$M$31,0)</f>
        <v>0</v>
      </c>
      <c r="J13" s="219">
        <f>ROUND('表６'!J13*1000/'表５'!$M$31,0)</f>
        <v>0</v>
      </c>
      <c r="K13" s="43">
        <f>ROUND('表６'!K13*1000/'表５'!$M$31,0)</f>
        <v>0</v>
      </c>
      <c r="L13" s="379"/>
    </row>
    <row r="14" spans="1:12" ht="24.75" customHeight="1">
      <c r="A14" s="1045"/>
      <c r="B14" s="959"/>
      <c r="C14" s="1058"/>
      <c r="D14" s="10" t="s">
        <v>37</v>
      </c>
      <c r="E14" s="219">
        <f>ROUND('表６'!E14*1000/SUM('表５'!$K$31:$M$31),0)</f>
        <v>1333236</v>
      </c>
      <c r="F14" s="219">
        <f>ROUND('表６'!F14*1000/SUM('表５'!$K$31:$M$31),0)</f>
        <v>1329692</v>
      </c>
      <c r="G14" s="219">
        <f>ROUND('表６'!G14*1000/SUM('表５'!$K$31:$M$31),0)</f>
        <v>16813</v>
      </c>
      <c r="H14" s="219">
        <f>ROUND('表６'!H14*1000/SUM('表５'!$K$31:$M$31),0)</f>
        <v>1312879</v>
      </c>
      <c r="I14" s="219">
        <f>ROUND('表６'!I14*1000/SUM('表５'!$K$31:$M$31),0)</f>
        <v>0</v>
      </c>
      <c r="J14" s="219">
        <f>ROUND('表６'!J14*1000/SUM('表５'!$K$31:$M$31),0)</f>
        <v>3544</v>
      </c>
      <c r="K14" s="43">
        <f>ROUND('表６'!K14*1000/SUM('表５'!$K$31:$M$31),0)</f>
        <v>0</v>
      </c>
      <c r="L14" s="379"/>
    </row>
    <row r="15" spans="1:12" ht="24.75" customHeight="1">
      <c r="A15" s="1045"/>
      <c r="B15" s="959"/>
      <c r="C15" s="1051" t="s">
        <v>100</v>
      </c>
      <c r="D15" s="1052"/>
      <c r="E15" s="219">
        <f>ROUND('表６'!E15*1000/'表５'!$N$31,0)</f>
        <v>909325</v>
      </c>
      <c r="F15" s="219">
        <f>ROUND('表６'!F15*1000/'表５'!$N$31,0)</f>
        <v>909325</v>
      </c>
      <c r="G15" s="219">
        <f>ROUND('表６'!G15*1000/'表５'!$N$31,0)</f>
        <v>74909</v>
      </c>
      <c r="H15" s="219">
        <f>ROUND('表６'!H15*1000/'表５'!$N$31,0)</f>
        <v>834417</v>
      </c>
      <c r="I15" s="219">
        <f>ROUND('表６'!I15*1000/'表５'!$N$31,0)</f>
        <v>0</v>
      </c>
      <c r="J15" s="219">
        <f>ROUND('表６'!J15*1000/'表５'!$N$31,0)</f>
        <v>0</v>
      </c>
      <c r="K15" s="43">
        <f>ROUND('表６'!K15*1000/'表５'!$N$31,0)</f>
        <v>0</v>
      </c>
      <c r="L15" s="379"/>
    </row>
    <row r="16" spans="1:12" ht="24.75" customHeight="1">
      <c r="A16" s="1045"/>
      <c r="B16" s="959"/>
      <c r="C16" s="965" t="s">
        <v>101</v>
      </c>
      <c r="D16" s="965"/>
      <c r="E16" s="219">
        <f>ROUND('表６'!E16*1000/'表５'!$O$31,0)</f>
        <v>2740011</v>
      </c>
      <c r="F16" s="219">
        <f>ROUND('表６'!F16*1000/'表５'!$O$31,0)</f>
        <v>2740011</v>
      </c>
      <c r="G16" s="219">
        <f>ROUND('表６'!G16*1000/'表５'!$O$31,0)</f>
        <v>281044</v>
      </c>
      <c r="H16" s="219">
        <f>ROUND('表６'!H16*1000/'表５'!$O$31,0)</f>
        <v>2458967</v>
      </c>
      <c r="I16" s="219">
        <f>ROUND('表６'!I16*1000/'表５'!$O$31,0)</f>
        <v>0</v>
      </c>
      <c r="J16" s="219">
        <f>ROUND('表６'!J16*1000/'表５'!$O$31,0)</f>
        <v>0</v>
      </c>
      <c r="K16" s="43">
        <f>ROUND('表６'!K16*1000/'表５'!$O$31,0)</f>
        <v>0</v>
      </c>
      <c r="L16" s="379"/>
    </row>
    <row r="17" spans="1:12" ht="24.75" customHeight="1">
      <c r="A17" s="1045"/>
      <c r="B17" s="964"/>
      <c r="C17" s="965" t="s">
        <v>317</v>
      </c>
      <c r="D17" s="965"/>
      <c r="E17" s="219">
        <f>ROUND('表６'!E17*1000/'表５'!$P$31,0)</f>
        <v>932525</v>
      </c>
      <c r="F17" s="219">
        <f>ROUND('表６'!F17*1000/'表５'!$P$31,0)</f>
        <v>811078</v>
      </c>
      <c r="G17" s="219">
        <f>ROUND('表６'!G17*1000/'表５'!$P$31,0)</f>
        <v>26100</v>
      </c>
      <c r="H17" s="219">
        <f>ROUND('表６'!H17*1000/'表５'!$P$31,0)</f>
        <v>46002</v>
      </c>
      <c r="I17" s="219">
        <f>ROUND('表６'!I17*1000/'表５'!$P$31,0)</f>
        <v>738976</v>
      </c>
      <c r="J17" s="219">
        <f>ROUND('表６'!J17*1000/'表５'!$P$31,0)</f>
        <v>121447</v>
      </c>
      <c r="K17" s="43">
        <f>ROUND('表６'!K17*1000/'表５'!$P$31,0)</f>
        <v>0</v>
      </c>
      <c r="L17" s="379"/>
    </row>
    <row r="18" spans="1:12" ht="24.75" customHeight="1">
      <c r="A18" s="1045"/>
      <c r="B18" s="966" t="s">
        <v>40</v>
      </c>
      <c r="C18" s="966"/>
      <c r="D18" s="966"/>
      <c r="E18" s="233">
        <f>ROUND('表６'!E18*1000/'表５'!$Q$31,0)</f>
        <v>13073</v>
      </c>
      <c r="F18" s="233">
        <f>ROUND('表６'!F18*1000/'表５'!$Q$31,0)</f>
        <v>12156</v>
      </c>
      <c r="G18" s="233">
        <f>ROUND('表６'!G18*1000/'表５'!$Q$31,0)</f>
        <v>224</v>
      </c>
      <c r="H18" s="233">
        <f>ROUND('表６'!H18*1000/'表５'!$Q$31,0)</f>
        <v>1526</v>
      </c>
      <c r="I18" s="233">
        <f>ROUND('表６'!I18*1000/'表５'!$Q$31,0)</f>
        <v>10406</v>
      </c>
      <c r="J18" s="233">
        <f>ROUND('表６'!J18*1000/'表５'!$Q$31,0)</f>
        <v>899</v>
      </c>
      <c r="K18" s="44">
        <f>ROUND('表６'!K18*1000/'表５'!$Q$31,0)</f>
        <v>0</v>
      </c>
      <c r="L18" s="175">
        <f>ROUND('表６'!L18*1000/'表５'!$Q$31,0)</f>
        <v>18</v>
      </c>
    </row>
    <row r="19" spans="1:12" ht="24.75" customHeight="1" thickBot="1">
      <c r="A19" s="1046"/>
      <c r="B19" s="1042" t="s">
        <v>41</v>
      </c>
      <c r="C19" s="1042"/>
      <c r="D19" s="1042"/>
      <c r="E19" s="234">
        <f>ROUND('表６'!E19*1000/'表５'!$R$31,0)</f>
        <v>8823</v>
      </c>
      <c r="F19" s="234">
        <f>ROUND('表６'!F19*1000/'表５'!$R$31,0)</f>
        <v>8729</v>
      </c>
      <c r="G19" s="234">
        <f>ROUND('表６'!G19*1000/'表５'!$R$31,0)</f>
        <v>76</v>
      </c>
      <c r="H19" s="234">
        <f>ROUND('表６'!H19*1000/'表５'!$R$31,0)</f>
        <v>3119</v>
      </c>
      <c r="I19" s="234">
        <f>ROUND('表６'!I19*1000/'表５'!$R$31,0)</f>
        <v>5534</v>
      </c>
      <c r="J19" s="234">
        <f>ROUND('表６'!J19*1000/'表５'!$R$31,0)</f>
        <v>94</v>
      </c>
      <c r="K19" s="45">
        <f>ROUND('表６'!K19*1000/'表５'!$R$31,0)</f>
        <v>0</v>
      </c>
      <c r="L19" s="378"/>
    </row>
    <row r="20" ht="16.5" customHeight="1">
      <c r="A20" s="7" t="s">
        <v>335</v>
      </c>
    </row>
    <row r="21" ht="16.5" customHeight="1">
      <c r="A21" s="7" t="s">
        <v>103</v>
      </c>
    </row>
    <row r="25" ht="11.25" customHeight="1"/>
  </sheetData>
  <sheetProtection/>
  <mergeCells count="26">
    <mergeCell ref="J1:L1"/>
    <mergeCell ref="L2:L4"/>
    <mergeCell ref="F3:F4"/>
    <mergeCell ref="G3:G4"/>
    <mergeCell ref="H3:H4"/>
    <mergeCell ref="I3:I4"/>
    <mergeCell ref="K2:K4"/>
    <mergeCell ref="A1:I1"/>
    <mergeCell ref="A2:D4"/>
    <mergeCell ref="E2:E4"/>
    <mergeCell ref="F2:I2"/>
    <mergeCell ref="C15:D15"/>
    <mergeCell ref="J2:J4"/>
    <mergeCell ref="C16:D16"/>
    <mergeCell ref="C11:C14"/>
    <mergeCell ref="B18:D18"/>
    <mergeCell ref="B7:B17"/>
    <mergeCell ref="B19:D19"/>
    <mergeCell ref="A5:D5"/>
    <mergeCell ref="A6:A19"/>
    <mergeCell ref="B6:D6"/>
    <mergeCell ref="C7:D7"/>
    <mergeCell ref="C8:D8"/>
    <mergeCell ref="C9:D9"/>
    <mergeCell ref="C10:D10"/>
    <mergeCell ref="C17:D17"/>
  </mergeCells>
  <printOptions/>
  <pageMargins left="0.66" right="0.64" top="1" bottom="1" header="0.512" footer="0.512"/>
  <pageSetup horizontalDpi="300" verticalDpi="300" orientation="landscape" paperSize="9" scale="90" r:id="rId1"/>
</worksheet>
</file>

<file path=xl/worksheets/sheet8.xml><?xml version="1.0" encoding="utf-8"?>
<worksheet xmlns="http://schemas.openxmlformats.org/spreadsheetml/2006/main" xmlns:r="http://schemas.openxmlformats.org/officeDocument/2006/relationships">
  <sheetPr codeName="Sheet8"/>
  <dimension ref="A1:N27"/>
  <sheetViews>
    <sheetView zoomScalePageLayoutView="0" workbookViewId="0" topLeftCell="A1">
      <selection activeCell="A1" sqref="A1:G1"/>
    </sheetView>
  </sheetViews>
  <sheetFormatPr defaultColWidth="9.00390625" defaultRowHeight="13.5"/>
  <cols>
    <col min="1" max="1" width="4.125" style="7" customWidth="1"/>
    <col min="2" max="2" width="2.375" style="7" customWidth="1"/>
    <col min="3" max="3" width="2.50390625" style="7" customWidth="1"/>
    <col min="4" max="4" width="2.625" style="7" customWidth="1"/>
    <col min="5" max="5" width="14.875" style="7" customWidth="1"/>
    <col min="6" max="6" width="12.50390625" style="7" customWidth="1"/>
    <col min="7" max="10" width="11.75390625" style="7" customWidth="1"/>
    <col min="11" max="11" width="9.75390625" style="7" bestFit="1" customWidth="1"/>
    <col min="12" max="12" width="9.875" style="7" customWidth="1"/>
    <col min="13" max="16384" width="9.00390625" style="7" customWidth="1"/>
  </cols>
  <sheetData>
    <row r="1" spans="1:7" ht="21" customHeight="1">
      <c r="A1" s="1110" t="s">
        <v>104</v>
      </c>
      <c r="B1" s="1110"/>
      <c r="C1" s="1110"/>
      <c r="D1" s="1110"/>
      <c r="E1" s="1110"/>
      <c r="F1" s="1110"/>
      <c r="G1" s="1110"/>
    </row>
    <row r="2" spans="11:12" ht="21" customHeight="1" thickBot="1">
      <c r="K2" s="496" t="s">
        <v>105</v>
      </c>
      <c r="L2" s="380">
        <f>'表５'!G31</f>
        <v>1359</v>
      </c>
    </row>
    <row r="3" spans="1:12" ht="16.5" customHeight="1">
      <c r="A3" s="1111" t="s">
        <v>106</v>
      </c>
      <c r="B3" s="1112"/>
      <c r="C3" s="1112"/>
      <c r="D3" s="1112"/>
      <c r="E3" s="1113"/>
      <c r="F3" s="1053" t="s">
        <v>28</v>
      </c>
      <c r="G3" s="1048" t="s">
        <v>93</v>
      </c>
      <c r="H3" s="1049"/>
      <c r="I3" s="1049"/>
      <c r="J3" s="1050"/>
      <c r="K3" s="1053" t="s">
        <v>107</v>
      </c>
      <c r="L3" s="1108" t="s">
        <v>264</v>
      </c>
    </row>
    <row r="4" spans="1:12" ht="33" customHeight="1" thickBot="1">
      <c r="A4" s="1114"/>
      <c r="B4" s="1115"/>
      <c r="C4" s="1115"/>
      <c r="D4" s="1115"/>
      <c r="E4" s="1116"/>
      <c r="F4" s="1107"/>
      <c r="G4" s="46" t="s">
        <v>108</v>
      </c>
      <c r="H4" s="46" t="s">
        <v>268</v>
      </c>
      <c r="I4" s="183" t="s">
        <v>263</v>
      </c>
      <c r="J4" s="183" t="s">
        <v>269</v>
      </c>
      <c r="K4" s="1107"/>
      <c r="L4" s="1109"/>
    </row>
    <row r="5" spans="1:12" ht="18.75" customHeight="1">
      <c r="A5" s="1101" t="s">
        <v>27</v>
      </c>
      <c r="B5" s="1104" t="s">
        <v>109</v>
      </c>
      <c r="C5" s="1105"/>
      <c r="D5" s="1105"/>
      <c r="E5" s="1106"/>
      <c r="F5" s="49">
        <f>G5+K5+L5</f>
        <v>1644298</v>
      </c>
      <c r="G5" s="49">
        <f>SUM(H5:J5)</f>
        <v>1581598</v>
      </c>
      <c r="H5" s="49">
        <f>H6+H14+H15</f>
        <v>3881</v>
      </c>
      <c r="I5" s="49">
        <f>I6+I14+I15</f>
        <v>8373</v>
      </c>
      <c r="J5" s="49">
        <f>J6+J14+J15</f>
        <v>1569344</v>
      </c>
      <c r="K5" s="49">
        <f>K6+K14+K15</f>
        <v>62700</v>
      </c>
      <c r="L5" s="58">
        <f>L6+L14+L15</f>
        <v>0</v>
      </c>
    </row>
    <row r="6" spans="1:12" ht="18.75" customHeight="1">
      <c r="A6" s="1102"/>
      <c r="B6" s="958"/>
      <c r="C6" s="1087" t="s">
        <v>110</v>
      </c>
      <c r="D6" s="1092"/>
      <c r="E6" s="1088"/>
      <c r="F6" s="16">
        <f aca="true" t="shared" si="0" ref="F6:F15">G6+K6+L6</f>
        <v>1460184</v>
      </c>
      <c r="G6" s="49">
        <f aca="true" t="shared" si="1" ref="G6:G15">SUM(H6:J6)</f>
        <v>1460184</v>
      </c>
      <c r="H6" s="16">
        <f>H7+SUM(H10:H13)</f>
        <v>3881</v>
      </c>
      <c r="I6" s="16">
        <f>I7+SUM(I10:I13)</f>
        <v>7213</v>
      </c>
      <c r="J6" s="16">
        <f>J7+SUM(J10:J13)</f>
        <v>1449090</v>
      </c>
      <c r="K6" s="16">
        <f>K7+SUM(K10:K13)</f>
        <v>0</v>
      </c>
      <c r="L6" s="18">
        <f>L7+SUM(L10:L13)</f>
        <v>0</v>
      </c>
    </row>
    <row r="7" spans="1:14" ht="18.75" customHeight="1">
      <c r="A7" s="1102"/>
      <c r="B7" s="959"/>
      <c r="C7" s="958"/>
      <c r="D7" s="1087" t="s">
        <v>111</v>
      </c>
      <c r="E7" s="1088"/>
      <c r="F7" s="16">
        <f t="shared" si="0"/>
        <v>1259370</v>
      </c>
      <c r="G7" s="49">
        <f t="shared" si="1"/>
        <v>1259370</v>
      </c>
      <c r="H7" s="43">
        <v>271</v>
      </c>
      <c r="I7" s="43">
        <v>0</v>
      </c>
      <c r="J7" s="43">
        <v>1259099</v>
      </c>
      <c r="K7" s="43">
        <v>0</v>
      </c>
      <c r="L7" s="123">
        <v>0</v>
      </c>
      <c r="N7" s="495"/>
    </row>
    <row r="8" spans="1:12" ht="18.75" customHeight="1">
      <c r="A8" s="1102"/>
      <c r="B8" s="959"/>
      <c r="C8" s="959"/>
      <c r="D8" s="958"/>
      <c r="E8" s="50" t="s">
        <v>280</v>
      </c>
      <c r="F8" s="16">
        <f t="shared" si="0"/>
        <v>823140</v>
      </c>
      <c r="G8" s="49">
        <f t="shared" si="1"/>
        <v>823140</v>
      </c>
      <c r="H8" s="43">
        <v>0</v>
      </c>
      <c r="I8" s="43">
        <v>0</v>
      </c>
      <c r="J8" s="43">
        <v>823140</v>
      </c>
      <c r="K8" s="43">
        <v>0</v>
      </c>
      <c r="L8" s="123">
        <v>0</v>
      </c>
    </row>
    <row r="9" spans="1:13" ht="18.75" customHeight="1">
      <c r="A9" s="1102"/>
      <c r="B9" s="959"/>
      <c r="C9" s="959"/>
      <c r="D9" s="964"/>
      <c r="E9" s="11" t="s">
        <v>112</v>
      </c>
      <c r="F9" s="16">
        <f t="shared" si="0"/>
        <v>436230</v>
      </c>
      <c r="G9" s="49">
        <f t="shared" si="1"/>
        <v>436230</v>
      </c>
      <c r="H9" s="43">
        <f>H7-H8</f>
        <v>271</v>
      </c>
      <c r="I9" s="43">
        <f>I7-I8</f>
        <v>0</v>
      </c>
      <c r="J9" s="43">
        <f>J7-J8</f>
        <v>435959</v>
      </c>
      <c r="K9" s="43">
        <f>K7-K8</f>
        <v>0</v>
      </c>
      <c r="L9" s="452">
        <f>L7-L8</f>
        <v>0</v>
      </c>
      <c r="M9" s="453"/>
    </row>
    <row r="10" spans="1:12" ht="18.75" customHeight="1">
      <c r="A10" s="1102"/>
      <c r="B10" s="959"/>
      <c r="C10" s="959"/>
      <c r="D10" s="1087" t="s">
        <v>113</v>
      </c>
      <c r="E10" s="1088"/>
      <c r="F10" s="16">
        <f>G10+K10+L10</f>
        <v>21574</v>
      </c>
      <c r="G10" s="49">
        <f t="shared" si="1"/>
        <v>21574</v>
      </c>
      <c r="H10" s="43">
        <v>0</v>
      </c>
      <c r="I10" s="43">
        <v>0</v>
      </c>
      <c r="J10" s="43">
        <v>21574</v>
      </c>
      <c r="K10" s="43">
        <v>0</v>
      </c>
      <c r="L10" s="123">
        <v>0</v>
      </c>
    </row>
    <row r="11" spans="1:12" ht="18.75" customHeight="1">
      <c r="A11" s="1102"/>
      <c r="B11" s="959"/>
      <c r="C11" s="959"/>
      <c r="D11" s="1087" t="s">
        <v>114</v>
      </c>
      <c r="E11" s="1088"/>
      <c r="F11" s="16">
        <f t="shared" si="0"/>
        <v>108441</v>
      </c>
      <c r="G11" s="49">
        <f t="shared" si="1"/>
        <v>108441</v>
      </c>
      <c r="H11" s="43">
        <v>235</v>
      </c>
      <c r="I11" s="43">
        <v>1237</v>
      </c>
      <c r="J11" s="43">
        <v>106969</v>
      </c>
      <c r="K11" s="43">
        <v>0</v>
      </c>
      <c r="L11" s="123">
        <v>0</v>
      </c>
    </row>
    <row r="12" spans="1:12" ht="18.75" customHeight="1">
      <c r="A12" s="1102"/>
      <c r="B12" s="959"/>
      <c r="C12" s="959"/>
      <c r="D12" s="1087" t="s">
        <v>115</v>
      </c>
      <c r="E12" s="1088"/>
      <c r="F12" s="16">
        <f t="shared" si="0"/>
        <v>59872</v>
      </c>
      <c r="G12" s="49">
        <f t="shared" si="1"/>
        <v>59872</v>
      </c>
      <c r="H12" s="43">
        <v>3375</v>
      </c>
      <c r="I12" s="43">
        <v>5976</v>
      </c>
      <c r="J12" s="43">
        <v>50521</v>
      </c>
      <c r="K12" s="43">
        <v>0</v>
      </c>
      <c r="L12" s="123">
        <v>0</v>
      </c>
    </row>
    <row r="13" spans="1:12" ht="18.75" customHeight="1">
      <c r="A13" s="1102"/>
      <c r="B13" s="959"/>
      <c r="C13" s="964"/>
      <c r="D13" s="1087" t="s">
        <v>116</v>
      </c>
      <c r="E13" s="1088"/>
      <c r="F13" s="16">
        <f t="shared" si="0"/>
        <v>10927</v>
      </c>
      <c r="G13" s="49">
        <f t="shared" si="1"/>
        <v>10927</v>
      </c>
      <c r="H13" s="43">
        <v>0</v>
      </c>
      <c r="I13" s="43">
        <v>0</v>
      </c>
      <c r="J13" s="43">
        <v>10927</v>
      </c>
      <c r="K13" s="43">
        <v>0</v>
      </c>
      <c r="L13" s="123">
        <v>0</v>
      </c>
    </row>
    <row r="14" spans="1:12" ht="18.75" customHeight="1">
      <c r="A14" s="1102"/>
      <c r="B14" s="959"/>
      <c r="C14" s="1087" t="s">
        <v>117</v>
      </c>
      <c r="D14" s="1092"/>
      <c r="E14" s="1088"/>
      <c r="F14" s="49">
        <f t="shared" si="0"/>
        <v>121569</v>
      </c>
      <c r="G14" s="49">
        <f t="shared" si="1"/>
        <v>58869</v>
      </c>
      <c r="H14" s="480">
        <v>0</v>
      </c>
      <c r="I14" s="480">
        <v>1160</v>
      </c>
      <c r="J14" s="480">
        <v>57709</v>
      </c>
      <c r="K14" s="480">
        <v>62700</v>
      </c>
      <c r="L14" s="481">
        <v>0</v>
      </c>
    </row>
    <row r="15" spans="1:12" ht="18.75" customHeight="1" thickBot="1">
      <c r="A15" s="1103"/>
      <c r="B15" s="968"/>
      <c r="C15" s="1093" t="s">
        <v>118</v>
      </c>
      <c r="D15" s="1094"/>
      <c r="E15" s="1095"/>
      <c r="F15" s="51">
        <f t="shared" si="0"/>
        <v>62545</v>
      </c>
      <c r="G15" s="49">
        <f t="shared" si="1"/>
        <v>62545</v>
      </c>
      <c r="H15" s="444">
        <v>0</v>
      </c>
      <c r="I15" s="444">
        <v>0</v>
      </c>
      <c r="J15" s="444">
        <v>62545</v>
      </c>
      <c r="K15" s="444">
        <v>0</v>
      </c>
      <c r="L15" s="445">
        <v>0</v>
      </c>
    </row>
    <row r="16" spans="1:12" ht="18.75" customHeight="1" thickTop="1">
      <c r="A16" s="1096" t="s">
        <v>119</v>
      </c>
      <c r="B16" s="1098" t="s">
        <v>109</v>
      </c>
      <c r="C16" s="1099"/>
      <c r="D16" s="1099"/>
      <c r="E16" s="1100"/>
      <c r="F16" s="235">
        <f>ROUND(F5*1000/$L$2,0)</f>
        <v>1209932</v>
      </c>
      <c r="G16" s="235">
        <f aca="true" t="shared" si="2" ref="G16:L16">ROUND(G5*1000/$L$2,0)</f>
        <v>1163795</v>
      </c>
      <c r="H16" s="235">
        <f t="shared" si="2"/>
        <v>2856</v>
      </c>
      <c r="I16" s="235">
        <f t="shared" si="2"/>
        <v>6161</v>
      </c>
      <c r="J16" s="235">
        <f t="shared" si="2"/>
        <v>1154779</v>
      </c>
      <c r="K16" s="235">
        <f t="shared" si="2"/>
        <v>46137</v>
      </c>
      <c r="L16" s="236">
        <f t="shared" si="2"/>
        <v>0</v>
      </c>
    </row>
    <row r="17" spans="1:12" ht="18.75" customHeight="1">
      <c r="A17" s="1096"/>
      <c r="B17" s="958"/>
      <c r="C17" s="1087" t="s">
        <v>110</v>
      </c>
      <c r="D17" s="1092"/>
      <c r="E17" s="1088"/>
      <c r="F17" s="49">
        <f aca="true" t="shared" si="3" ref="F17:L17">ROUND(F6*1000/$L$2,0)</f>
        <v>1074455</v>
      </c>
      <c r="G17" s="49">
        <f t="shared" si="3"/>
        <v>1074455</v>
      </c>
      <c r="H17" s="49">
        <f t="shared" si="3"/>
        <v>2856</v>
      </c>
      <c r="I17" s="49">
        <f t="shared" si="3"/>
        <v>5308</v>
      </c>
      <c r="J17" s="49">
        <f t="shared" si="3"/>
        <v>1066291</v>
      </c>
      <c r="K17" s="49">
        <f t="shared" si="3"/>
        <v>0</v>
      </c>
      <c r="L17" s="58">
        <f t="shared" si="3"/>
        <v>0</v>
      </c>
    </row>
    <row r="18" spans="1:12" ht="18.75" customHeight="1">
      <c r="A18" s="1096"/>
      <c r="B18" s="959"/>
      <c r="C18" s="958"/>
      <c r="D18" s="1087" t="s">
        <v>111</v>
      </c>
      <c r="E18" s="1088"/>
      <c r="F18" s="49">
        <f aca="true" t="shared" si="4" ref="F18:L18">ROUND(F7*1000/$L$2,0)</f>
        <v>926689</v>
      </c>
      <c r="G18" s="49">
        <f t="shared" si="4"/>
        <v>926689</v>
      </c>
      <c r="H18" s="49">
        <f t="shared" si="4"/>
        <v>199</v>
      </c>
      <c r="I18" s="49">
        <f t="shared" si="4"/>
        <v>0</v>
      </c>
      <c r="J18" s="49">
        <f t="shared" si="4"/>
        <v>926489</v>
      </c>
      <c r="K18" s="49">
        <f t="shared" si="4"/>
        <v>0</v>
      </c>
      <c r="L18" s="58">
        <f t="shared" si="4"/>
        <v>0</v>
      </c>
    </row>
    <row r="19" spans="1:12" ht="18.75" customHeight="1">
      <c r="A19" s="1096"/>
      <c r="B19" s="959"/>
      <c r="C19" s="959"/>
      <c r="D19" s="958"/>
      <c r="E19" s="50" t="s">
        <v>281</v>
      </c>
      <c r="F19" s="49">
        <f aca="true" t="shared" si="5" ref="F19:L19">ROUND(F8*1000/$L$2,0)</f>
        <v>605695</v>
      </c>
      <c r="G19" s="49">
        <f t="shared" si="5"/>
        <v>605695</v>
      </c>
      <c r="H19" s="49">
        <f t="shared" si="5"/>
        <v>0</v>
      </c>
      <c r="I19" s="49">
        <f t="shared" si="5"/>
        <v>0</v>
      </c>
      <c r="J19" s="49">
        <f t="shared" si="5"/>
        <v>605695</v>
      </c>
      <c r="K19" s="49">
        <f t="shared" si="5"/>
        <v>0</v>
      </c>
      <c r="L19" s="58">
        <f t="shared" si="5"/>
        <v>0</v>
      </c>
    </row>
    <row r="20" spans="1:12" ht="18.75" customHeight="1">
      <c r="A20" s="1096"/>
      <c r="B20" s="959"/>
      <c r="C20" s="959"/>
      <c r="D20" s="964"/>
      <c r="E20" s="11" t="s">
        <v>112</v>
      </c>
      <c r="F20" s="49">
        <f aca="true" t="shared" si="6" ref="F20:L20">ROUND(F9*1000/$L$2,0)</f>
        <v>320993</v>
      </c>
      <c r="G20" s="49">
        <f t="shared" si="6"/>
        <v>320993</v>
      </c>
      <c r="H20" s="49">
        <f t="shared" si="6"/>
        <v>199</v>
      </c>
      <c r="I20" s="49">
        <f t="shared" si="6"/>
        <v>0</v>
      </c>
      <c r="J20" s="49">
        <f t="shared" si="6"/>
        <v>320794</v>
      </c>
      <c r="K20" s="49">
        <f t="shared" si="6"/>
        <v>0</v>
      </c>
      <c r="L20" s="58">
        <f t="shared" si="6"/>
        <v>0</v>
      </c>
    </row>
    <row r="21" spans="1:12" ht="18.75" customHeight="1">
      <c r="A21" s="1096"/>
      <c r="B21" s="959"/>
      <c r="C21" s="959"/>
      <c r="D21" s="1087" t="s">
        <v>113</v>
      </c>
      <c r="E21" s="1088"/>
      <c r="F21" s="49">
        <f aca="true" t="shared" si="7" ref="F21:L21">ROUND(F10*1000/$L$2,0)</f>
        <v>15875</v>
      </c>
      <c r="G21" s="49">
        <f t="shared" si="7"/>
        <v>15875</v>
      </c>
      <c r="H21" s="49">
        <f t="shared" si="7"/>
        <v>0</v>
      </c>
      <c r="I21" s="49">
        <f t="shared" si="7"/>
        <v>0</v>
      </c>
      <c r="J21" s="49">
        <f t="shared" si="7"/>
        <v>15875</v>
      </c>
      <c r="K21" s="49">
        <f t="shared" si="7"/>
        <v>0</v>
      </c>
      <c r="L21" s="58">
        <f t="shared" si="7"/>
        <v>0</v>
      </c>
    </row>
    <row r="22" spans="1:12" ht="18.75" customHeight="1">
      <c r="A22" s="1096"/>
      <c r="B22" s="959"/>
      <c r="C22" s="959"/>
      <c r="D22" s="1087" t="s">
        <v>114</v>
      </c>
      <c r="E22" s="1088"/>
      <c r="F22" s="49">
        <f aca="true" t="shared" si="8" ref="F22:L22">ROUND(F11*1000/$L$2,0)</f>
        <v>79795</v>
      </c>
      <c r="G22" s="49">
        <f t="shared" si="8"/>
        <v>79795</v>
      </c>
      <c r="H22" s="49">
        <f t="shared" si="8"/>
        <v>173</v>
      </c>
      <c r="I22" s="49">
        <f t="shared" si="8"/>
        <v>910</v>
      </c>
      <c r="J22" s="49">
        <f t="shared" si="8"/>
        <v>78712</v>
      </c>
      <c r="K22" s="49">
        <f t="shared" si="8"/>
        <v>0</v>
      </c>
      <c r="L22" s="58">
        <f t="shared" si="8"/>
        <v>0</v>
      </c>
    </row>
    <row r="23" spans="1:12" ht="18.75" customHeight="1">
      <c r="A23" s="1096"/>
      <c r="B23" s="959"/>
      <c r="C23" s="959"/>
      <c r="D23" s="1087" t="s">
        <v>115</v>
      </c>
      <c r="E23" s="1088"/>
      <c r="F23" s="49">
        <f aca="true" t="shared" si="9" ref="F23:L23">ROUND(F12*1000/$L$2,0)</f>
        <v>44056</v>
      </c>
      <c r="G23" s="49">
        <f t="shared" si="9"/>
        <v>44056</v>
      </c>
      <c r="H23" s="49">
        <f t="shared" si="9"/>
        <v>2483</v>
      </c>
      <c r="I23" s="49">
        <f t="shared" si="9"/>
        <v>4397</v>
      </c>
      <c r="J23" s="49">
        <f t="shared" si="9"/>
        <v>37175</v>
      </c>
      <c r="K23" s="49">
        <f t="shared" si="9"/>
        <v>0</v>
      </c>
      <c r="L23" s="58">
        <f t="shared" si="9"/>
        <v>0</v>
      </c>
    </row>
    <row r="24" spans="1:12" ht="18.75" customHeight="1">
      <c r="A24" s="1096"/>
      <c r="B24" s="959"/>
      <c r="C24" s="964"/>
      <c r="D24" s="1087" t="s">
        <v>116</v>
      </c>
      <c r="E24" s="1088"/>
      <c r="F24" s="49">
        <f aca="true" t="shared" si="10" ref="F24:L24">ROUND(F13*1000/$L$2,0)</f>
        <v>8040</v>
      </c>
      <c r="G24" s="49">
        <f t="shared" si="10"/>
        <v>8040</v>
      </c>
      <c r="H24" s="49">
        <f t="shared" si="10"/>
        <v>0</v>
      </c>
      <c r="I24" s="49">
        <f t="shared" si="10"/>
        <v>0</v>
      </c>
      <c r="J24" s="49">
        <f t="shared" si="10"/>
        <v>8040</v>
      </c>
      <c r="K24" s="49">
        <f t="shared" si="10"/>
        <v>0</v>
      </c>
      <c r="L24" s="58">
        <f t="shared" si="10"/>
        <v>0</v>
      </c>
    </row>
    <row r="25" spans="1:12" ht="18.75" customHeight="1">
      <c r="A25" s="1096"/>
      <c r="B25" s="959"/>
      <c r="C25" s="1087" t="s">
        <v>117</v>
      </c>
      <c r="D25" s="1092"/>
      <c r="E25" s="1088"/>
      <c r="F25" s="49">
        <f aca="true" t="shared" si="11" ref="F25:L25">ROUND(F14*1000/$L$2,0)</f>
        <v>89455</v>
      </c>
      <c r="G25" s="49">
        <f t="shared" si="11"/>
        <v>43318</v>
      </c>
      <c r="H25" s="49">
        <f t="shared" si="11"/>
        <v>0</v>
      </c>
      <c r="I25" s="49">
        <f t="shared" si="11"/>
        <v>854</v>
      </c>
      <c r="J25" s="49">
        <f t="shared" si="11"/>
        <v>42464</v>
      </c>
      <c r="K25" s="49">
        <f t="shared" si="11"/>
        <v>46137</v>
      </c>
      <c r="L25" s="58">
        <f t="shared" si="11"/>
        <v>0</v>
      </c>
    </row>
    <row r="26" spans="1:12" ht="18.75" customHeight="1" thickBot="1">
      <c r="A26" s="1097"/>
      <c r="B26" s="960"/>
      <c r="C26" s="1089" t="s">
        <v>118</v>
      </c>
      <c r="D26" s="1090"/>
      <c r="E26" s="1091"/>
      <c r="F26" s="41">
        <f aca="true" t="shared" si="12" ref="F26:L26">ROUND(F15*1000/$L$2,0)</f>
        <v>46023</v>
      </c>
      <c r="G26" s="41">
        <f t="shared" si="12"/>
        <v>46023</v>
      </c>
      <c r="H26" s="41">
        <f t="shared" si="12"/>
        <v>0</v>
      </c>
      <c r="I26" s="41">
        <f t="shared" si="12"/>
        <v>0</v>
      </c>
      <c r="J26" s="41">
        <f t="shared" si="12"/>
        <v>46023</v>
      </c>
      <c r="K26" s="41">
        <f t="shared" si="12"/>
        <v>0</v>
      </c>
      <c r="L26" s="42">
        <f t="shared" si="12"/>
        <v>0</v>
      </c>
    </row>
    <row r="27" ht="19.5" customHeight="1">
      <c r="A27" s="7" t="s">
        <v>120</v>
      </c>
    </row>
  </sheetData>
  <sheetProtection/>
  <mergeCells count="32">
    <mergeCell ref="K3:K4"/>
    <mergeCell ref="L3:L4"/>
    <mergeCell ref="A1:G1"/>
    <mergeCell ref="A3:E4"/>
    <mergeCell ref="F3:F4"/>
    <mergeCell ref="G3:J3"/>
    <mergeCell ref="A5:A15"/>
    <mergeCell ref="B5:E5"/>
    <mergeCell ref="B6:B15"/>
    <mergeCell ref="C6:E6"/>
    <mergeCell ref="C7:C13"/>
    <mergeCell ref="D7:E7"/>
    <mergeCell ref="D8:D9"/>
    <mergeCell ref="D10:E10"/>
    <mergeCell ref="D11:E11"/>
    <mergeCell ref="D12:E12"/>
    <mergeCell ref="D13:E13"/>
    <mergeCell ref="C14:E14"/>
    <mergeCell ref="C15:E15"/>
    <mergeCell ref="A16:A26"/>
    <mergeCell ref="B16:E16"/>
    <mergeCell ref="B17:B26"/>
    <mergeCell ref="C17:E17"/>
    <mergeCell ref="C18:C24"/>
    <mergeCell ref="D18:E18"/>
    <mergeCell ref="D19:D20"/>
    <mergeCell ref="D21:E21"/>
    <mergeCell ref="C26:E26"/>
    <mergeCell ref="D22:E22"/>
    <mergeCell ref="D23:E23"/>
    <mergeCell ref="D24:E24"/>
    <mergeCell ref="C25:E25"/>
  </mergeCells>
  <printOptions/>
  <pageMargins left="0.75" right="0.75" top="1" bottom="1" header="0.512" footer="0.512"/>
  <pageSetup horizontalDpi="300" verticalDpi="300" orientation="landscape" paperSize="9" scale="95" r:id="rId1"/>
</worksheet>
</file>

<file path=xl/worksheets/sheet9.xml><?xml version="1.0" encoding="utf-8"?>
<worksheet xmlns="http://schemas.openxmlformats.org/spreadsheetml/2006/main" xmlns:r="http://schemas.openxmlformats.org/officeDocument/2006/relationships">
  <sheetPr codeName="Sheet9"/>
  <dimension ref="A1:L27"/>
  <sheetViews>
    <sheetView zoomScalePageLayoutView="0" workbookViewId="0" topLeftCell="A1">
      <selection activeCell="A1" sqref="A1:G1"/>
    </sheetView>
  </sheetViews>
  <sheetFormatPr defaultColWidth="9.00390625" defaultRowHeight="13.5"/>
  <cols>
    <col min="1" max="1" width="4.125" style="7" customWidth="1"/>
    <col min="2" max="2" width="2.375" style="7" customWidth="1"/>
    <col min="3" max="3" width="2.50390625" style="7" customWidth="1"/>
    <col min="4" max="4" width="2.625" style="7" customWidth="1"/>
    <col min="5" max="5" width="14.875" style="7" customWidth="1"/>
    <col min="6" max="6" width="12.50390625" style="7" customWidth="1"/>
    <col min="7" max="10" width="11.75390625" style="7" customWidth="1"/>
    <col min="11" max="11" width="10.875" style="7" customWidth="1"/>
    <col min="12" max="12" width="9.875" style="7" customWidth="1"/>
    <col min="13" max="16384" width="9.00390625" style="7" customWidth="1"/>
  </cols>
  <sheetData>
    <row r="1" spans="1:7" ht="21" customHeight="1">
      <c r="A1" s="1110" t="s">
        <v>121</v>
      </c>
      <c r="B1" s="1110"/>
      <c r="C1" s="1110"/>
      <c r="D1" s="1110"/>
      <c r="E1" s="1110"/>
      <c r="F1" s="1110"/>
      <c r="G1" s="1110"/>
    </row>
    <row r="2" spans="11:12" ht="21" customHeight="1" thickBot="1">
      <c r="K2" s="52" t="s">
        <v>122</v>
      </c>
      <c r="L2" s="381">
        <f>'表５'!H31</f>
        <v>67040</v>
      </c>
    </row>
    <row r="3" spans="1:12" ht="16.5" customHeight="1">
      <c r="A3" s="1111" t="s">
        <v>106</v>
      </c>
      <c r="B3" s="1112"/>
      <c r="C3" s="1112"/>
      <c r="D3" s="1112"/>
      <c r="E3" s="1113"/>
      <c r="F3" s="1053" t="s">
        <v>28</v>
      </c>
      <c r="G3" s="1048" t="s">
        <v>93</v>
      </c>
      <c r="H3" s="1049"/>
      <c r="I3" s="1049"/>
      <c r="J3" s="1049"/>
      <c r="K3" s="1053" t="s">
        <v>107</v>
      </c>
      <c r="L3" s="1108" t="s">
        <v>264</v>
      </c>
    </row>
    <row r="4" spans="1:12" ht="33" customHeight="1" thickBot="1">
      <c r="A4" s="1114"/>
      <c r="B4" s="1115"/>
      <c r="C4" s="1115"/>
      <c r="D4" s="1115"/>
      <c r="E4" s="1116"/>
      <c r="F4" s="1107"/>
      <c r="G4" s="54" t="s">
        <v>108</v>
      </c>
      <c r="H4" s="46" t="s">
        <v>268</v>
      </c>
      <c r="I4" s="183" t="s">
        <v>263</v>
      </c>
      <c r="J4" s="184" t="s">
        <v>269</v>
      </c>
      <c r="K4" s="1107"/>
      <c r="L4" s="1109"/>
    </row>
    <row r="5" spans="1:12" ht="18.75" customHeight="1">
      <c r="A5" s="1101" t="s">
        <v>27</v>
      </c>
      <c r="B5" s="1104" t="s">
        <v>109</v>
      </c>
      <c r="C5" s="1105"/>
      <c r="D5" s="1105"/>
      <c r="E5" s="1106"/>
      <c r="F5" s="237">
        <f>G5+K5+L5</f>
        <v>68862366</v>
      </c>
      <c r="G5" s="237">
        <f>SUM(H5:J5)</f>
        <v>65431294</v>
      </c>
      <c r="H5" s="237">
        <f>H6+H14+H15</f>
        <v>13683061</v>
      </c>
      <c r="I5" s="237">
        <f>I6+I14+I15</f>
        <v>32905437</v>
      </c>
      <c r="J5" s="237">
        <f>J6+J14+J15</f>
        <v>18842796</v>
      </c>
      <c r="K5" s="237">
        <f>K6+K14+K15</f>
        <v>3430742</v>
      </c>
      <c r="L5" s="238">
        <f>L6+L14+L15</f>
        <v>330</v>
      </c>
    </row>
    <row r="6" spans="1:12" ht="18.75" customHeight="1">
      <c r="A6" s="1102"/>
      <c r="B6" s="958"/>
      <c r="C6" s="1087" t="s">
        <v>110</v>
      </c>
      <c r="D6" s="1092"/>
      <c r="E6" s="1088"/>
      <c r="F6" s="16">
        <f aca="true" t="shared" si="0" ref="F6:F15">G6+K6+L6</f>
        <v>56463656</v>
      </c>
      <c r="G6" s="16">
        <f aca="true" t="shared" si="1" ref="G6:G15">SUM(H6:J6)</f>
        <v>56431026</v>
      </c>
      <c r="H6" s="16">
        <f>H7+SUM(H10:H13)</f>
        <v>11093927</v>
      </c>
      <c r="I6" s="16">
        <f>I7+SUM(I10:I13)</f>
        <v>32795182</v>
      </c>
      <c r="J6" s="16">
        <f>J7+SUM(J10:J13)</f>
        <v>12541917</v>
      </c>
      <c r="K6" s="16">
        <f>K7+SUM(K10:K13)</f>
        <v>32500</v>
      </c>
      <c r="L6" s="18">
        <f>L7+SUM(L10:L13)</f>
        <v>130</v>
      </c>
    </row>
    <row r="7" spans="1:12" ht="18.75" customHeight="1">
      <c r="A7" s="1102"/>
      <c r="B7" s="959"/>
      <c r="C7" s="958"/>
      <c r="D7" s="1087" t="s">
        <v>111</v>
      </c>
      <c r="E7" s="1088"/>
      <c r="F7" s="16">
        <f t="shared" si="0"/>
        <v>46706578</v>
      </c>
      <c r="G7" s="16">
        <f t="shared" si="1"/>
        <v>46685678</v>
      </c>
      <c r="H7" s="43">
        <v>10528222</v>
      </c>
      <c r="I7" s="43">
        <v>32657643</v>
      </c>
      <c r="J7" s="43">
        <v>3499813</v>
      </c>
      <c r="K7" s="43">
        <v>20900</v>
      </c>
      <c r="L7" s="123">
        <v>0</v>
      </c>
    </row>
    <row r="8" spans="1:12" ht="18.75" customHeight="1">
      <c r="A8" s="1102"/>
      <c r="B8" s="959"/>
      <c r="C8" s="959"/>
      <c r="D8" s="958"/>
      <c r="E8" s="50" t="s">
        <v>280</v>
      </c>
      <c r="F8" s="16">
        <f t="shared" si="0"/>
        <v>30604270</v>
      </c>
      <c r="G8" s="16">
        <f t="shared" si="1"/>
        <v>30604270</v>
      </c>
      <c r="H8" s="43">
        <v>10117785</v>
      </c>
      <c r="I8" s="43">
        <v>20450493</v>
      </c>
      <c r="J8" s="43">
        <v>35992</v>
      </c>
      <c r="K8" s="43">
        <v>0</v>
      </c>
      <c r="L8" s="123">
        <v>0</v>
      </c>
    </row>
    <row r="9" spans="1:12" ht="18.75" customHeight="1">
      <c r="A9" s="1102"/>
      <c r="B9" s="959"/>
      <c r="C9" s="959"/>
      <c r="D9" s="964"/>
      <c r="E9" s="11" t="s">
        <v>112</v>
      </c>
      <c r="F9" s="16">
        <f t="shared" si="0"/>
        <v>16102308</v>
      </c>
      <c r="G9" s="16">
        <f t="shared" si="1"/>
        <v>16081408</v>
      </c>
      <c r="H9" s="43">
        <f>H7-H8</f>
        <v>410437</v>
      </c>
      <c r="I9" s="43">
        <f>I7-I8</f>
        <v>12207150</v>
      </c>
      <c r="J9" s="43">
        <f>J7-J8</f>
        <v>3463821</v>
      </c>
      <c r="K9" s="43">
        <f>K7-K8</f>
        <v>20900</v>
      </c>
      <c r="L9" s="123">
        <f>L7-L8</f>
        <v>0</v>
      </c>
    </row>
    <row r="10" spans="1:12" ht="18.75" customHeight="1">
      <c r="A10" s="1102"/>
      <c r="B10" s="959"/>
      <c r="C10" s="959"/>
      <c r="D10" s="1087" t="s">
        <v>113</v>
      </c>
      <c r="E10" s="1088"/>
      <c r="F10" s="16">
        <f>G10+K10+L10</f>
        <v>1779119</v>
      </c>
      <c r="G10" s="16">
        <f t="shared" si="1"/>
        <v>1771489</v>
      </c>
      <c r="H10" s="43">
        <v>341470</v>
      </c>
      <c r="I10" s="43">
        <v>98811</v>
      </c>
      <c r="J10" s="43">
        <v>1331208</v>
      </c>
      <c r="K10" s="43">
        <v>7500</v>
      </c>
      <c r="L10" s="123">
        <v>130</v>
      </c>
    </row>
    <row r="11" spans="1:12" ht="18.75" customHeight="1">
      <c r="A11" s="1102"/>
      <c r="B11" s="959"/>
      <c r="C11" s="959"/>
      <c r="D11" s="1087" t="s">
        <v>114</v>
      </c>
      <c r="E11" s="1088"/>
      <c r="F11" s="16">
        <f t="shared" si="0"/>
        <v>4163064</v>
      </c>
      <c r="G11" s="16">
        <f t="shared" si="1"/>
        <v>4163064</v>
      </c>
      <c r="H11" s="43">
        <v>140243</v>
      </c>
      <c r="I11" s="43">
        <v>8605</v>
      </c>
      <c r="J11" s="43">
        <v>4014216</v>
      </c>
      <c r="K11" s="43">
        <v>0</v>
      </c>
      <c r="L11" s="123">
        <v>0</v>
      </c>
    </row>
    <row r="12" spans="1:12" ht="18.75" customHeight="1">
      <c r="A12" s="1102"/>
      <c r="B12" s="959"/>
      <c r="C12" s="959"/>
      <c r="D12" s="1087" t="s">
        <v>115</v>
      </c>
      <c r="E12" s="1088"/>
      <c r="F12" s="16">
        <f t="shared" si="0"/>
        <v>3583714</v>
      </c>
      <c r="G12" s="16">
        <f t="shared" si="1"/>
        <v>3579614</v>
      </c>
      <c r="H12" s="43">
        <v>81718</v>
      </c>
      <c r="I12" s="43">
        <v>30123</v>
      </c>
      <c r="J12" s="43">
        <v>3467773</v>
      </c>
      <c r="K12" s="43">
        <v>4100</v>
      </c>
      <c r="L12" s="123">
        <v>0</v>
      </c>
    </row>
    <row r="13" spans="1:12" ht="18.75" customHeight="1">
      <c r="A13" s="1102"/>
      <c r="B13" s="959"/>
      <c r="C13" s="964"/>
      <c r="D13" s="1087" t="s">
        <v>116</v>
      </c>
      <c r="E13" s="1088"/>
      <c r="F13" s="16">
        <f t="shared" si="0"/>
        <v>231181</v>
      </c>
      <c r="G13" s="16">
        <f t="shared" si="1"/>
        <v>231181</v>
      </c>
      <c r="H13" s="43">
        <v>2274</v>
      </c>
      <c r="I13" s="43">
        <v>0</v>
      </c>
      <c r="J13" s="43">
        <v>228907</v>
      </c>
      <c r="K13" s="43">
        <v>0</v>
      </c>
      <c r="L13" s="123">
        <v>0</v>
      </c>
    </row>
    <row r="14" spans="1:12" ht="18.75" customHeight="1">
      <c r="A14" s="1102"/>
      <c r="B14" s="959"/>
      <c r="C14" s="1087" t="s">
        <v>117</v>
      </c>
      <c r="D14" s="1092"/>
      <c r="E14" s="1088"/>
      <c r="F14" s="16">
        <f t="shared" si="0"/>
        <v>8785677</v>
      </c>
      <c r="G14" s="16">
        <f t="shared" si="1"/>
        <v>5387235</v>
      </c>
      <c r="H14" s="43">
        <v>2589134</v>
      </c>
      <c r="I14" s="43">
        <v>110255</v>
      </c>
      <c r="J14" s="43">
        <v>2687846</v>
      </c>
      <c r="K14" s="43">
        <v>3398242</v>
      </c>
      <c r="L14" s="123">
        <v>200</v>
      </c>
    </row>
    <row r="15" spans="1:12" ht="18.75" customHeight="1" thickBot="1">
      <c r="A15" s="1103"/>
      <c r="B15" s="968"/>
      <c r="C15" s="1093" t="s">
        <v>118</v>
      </c>
      <c r="D15" s="1094"/>
      <c r="E15" s="1095"/>
      <c r="F15" s="35">
        <f t="shared" si="0"/>
        <v>3613033</v>
      </c>
      <c r="G15" s="35">
        <f t="shared" si="1"/>
        <v>3613033</v>
      </c>
      <c r="H15" s="124">
        <v>0</v>
      </c>
      <c r="I15" s="124">
        <v>0</v>
      </c>
      <c r="J15" s="124">
        <v>3613033</v>
      </c>
      <c r="K15" s="124">
        <v>0</v>
      </c>
      <c r="L15" s="125">
        <v>0</v>
      </c>
    </row>
    <row r="16" spans="1:12" ht="18.75" customHeight="1" thickTop="1">
      <c r="A16" s="1096" t="s">
        <v>123</v>
      </c>
      <c r="B16" s="1098" t="s">
        <v>109</v>
      </c>
      <c r="C16" s="1099"/>
      <c r="D16" s="1099"/>
      <c r="E16" s="1100"/>
      <c r="F16" s="235">
        <f>ROUND(F5*1000/$L$2,0)</f>
        <v>1027183</v>
      </c>
      <c r="G16" s="235">
        <f aca="true" t="shared" si="2" ref="G16:L16">ROUND(G5*1000/$L$2,0)</f>
        <v>976004</v>
      </c>
      <c r="H16" s="235">
        <f t="shared" si="2"/>
        <v>204103</v>
      </c>
      <c r="I16" s="235">
        <f t="shared" si="2"/>
        <v>490833</v>
      </c>
      <c r="J16" s="235">
        <f t="shared" si="2"/>
        <v>281068</v>
      </c>
      <c r="K16" s="235">
        <f t="shared" si="2"/>
        <v>51175</v>
      </c>
      <c r="L16" s="236">
        <f t="shared" si="2"/>
        <v>5</v>
      </c>
    </row>
    <row r="17" spans="1:12" ht="18.75" customHeight="1">
      <c r="A17" s="1096"/>
      <c r="B17" s="958"/>
      <c r="C17" s="1087" t="s">
        <v>110</v>
      </c>
      <c r="D17" s="1092"/>
      <c r="E17" s="1088"/>
      <c r="F17" s="49">
        <f aca="true" t="shared" si="3" ref="F17:L17">ROUND(F6*1000/$L$2,0)</f>
        <v>842238</v>
      </c>
      <c r="G17" s="49">
        <f t="shared" si="3"/>
        <v>841752</v>
      </c>
      <c r="H17" s="49">
        <f t="shared" si="3"/>
        <v>165482</v>
      </c>
      <c r="I17" s="49">
        <f t="shared" si="3"/>
        <v>489188</v>
      </c>
      <c r="J17" s="49">
        <f t="shared" si="3"/>
        <v>187081</v>
      </c>
      <c r="K17" s="49">
        <f t="shared" si="3"/>
        <v>485</v>
      </c>
      <c r="L17" s="58">
        <f t="shared" si="3"/>
        <v>2</v>
      </c>
    </row>
    <row r="18" spans="1:12" ht="18.75" customHeight="1">
      <c r="A18" s="1096"/>
      <c r="B18" s="959"/>
      <c r="C18" s="958"/>
      <c r="D18" s="1087" t="s">
        <v>111</v>
      </c>
      <c r="E18" s="1088"/>
      <c r="F18" s="49">
        <f aca="true" t="shared" si="4" ref="F18:L18">ROUND(F7*1000/$L$2,0)</f>
        <v>696697</v>
      </c>
      <c r="G18" s="49">
        <f t="shared" si="4"/>
        <v>696385</v>
      </c>
      <c r="H18" s="49">
        <f t="shared" si="4"/>
        <v>157044</v>
      </c>
      <c r="I18" s="49">
        <f t="shared" si="4"/>
        <v>487137</v>
      </c>
      <c r="J18" s="49">
        <f t="shared" si="4"/>
        <v>52205</v>
      </c>
      <c r="K18" s="49">
        <f t="shared" si="4"/>
        <v>312</v>
      </c>
      <c r="L18" s="58">
        <f t="shared" si="4"/>
        <v>0</v>
      </c>
    </row>
    <row r="19" spans="1:12" ht="18.75" customHeight="1">
      <c r="A19" s="1096"/>
      <c r="B19" s="959"/>
      <c r="C19" s="959"/>
      <c r="D19" s="958"/>
      <c r="E19" s="50" t="s">
        <v>281</v>
      </c>
      <c r="F19" s="49">
        <f aca="true" t="shared" si="5" ref="F19:L19">ROUND(F8*1000/$L$2,0)</f>
        <v>456508</v>
      </c>
      <c r="G19" s="49">
        <f t="shared" si="5"/>
        <v>456508</v>
      </c>
      <c r="H19" s="49">
        <f t="shared" si="5"/>
        <v>150922</v>
      </c>
      <c r="I19" s="49">
        <f t="shared" si="5"/>
        <v>305049</v>
      </c>
      <c r="J19" s="49">
        <f t="shared" si="5"/>
        <v>537</v>
      </c>
      <c r="K19" s="49">
        <f t="shared" si="5"/>
        <v>0</v>
      </c>
      <c r="L19" s="58">
        <f t="shared" si="5"/>
        <v>0</v>
      </c>
    </row>
    <row r="20" spans="1:12" ht="18.75" customHeight="1">
      <c r="A20" s="1096"/>
      <c r="B20" s="959"/>
      <c r="C20" s="959"/>
      <c r="D20" s="964"/>
      <c r="E20" s="11" t="s">
        <v>112</v>
      </c>
      <c r="F20" s="49">
        <f aca="true" t="shared" si="6" ref="F20:L20">ROUND(F9*1000/$L$2,0)</f>
        <v>240190</v>
      </c>
      <c r="G20" s="49">
        <f t="shared" si="6"/>
        <v>239878</v>
      </c>
      <c r="H20" s="49">
        <f t="shared" si="6"/>
        <v>6122</v>
      </c>
      <c r="I20" s="49">
        <f t="shared" si="6"/>
        <v>182088</v>
      </c>
      <c r="J20" s="49">
        <f t="shared" si="6"/>
        <v>51668</v>
      </c>
      <c r="K20" s="49">
        <f t="shared" si="6"/>
        <v>312</v>
      </c>
      <c r="L20" s="58">
        <f t="shared" si="6"/>
        <v>0</v>
      </c>
    </row>
    <row r="21" spans="1:12" ht="18.75" customHeight="1">
      <c r="A21" s="1096"/>
      <c r="B21" s="959"/>
      <c r="C21" s="959"/>
      <c r="D21" s="1087" t="s">
        <v>113</v>
      </c>
      <c r="E21" s="1088"/>
      <c r="F21" s="49">
        <f aca="true" t="shared" si="7" ref="F21:L21">ROUND(F10*1000/$L$2,0)</f>
        <v>26538</v>
      </c>
      <c r="G21" s="49">
        <f t="shared" si="7"/>
        <v>26424</v>
      </c>
      <c r="H21" s="49">
        <f t="shared" si="7"/>
        <v>5094</v>
      </c>
      <c r="I21" s="49">
        <f t="shared" si="7"/>
        <v>1474</v>
      </c>
      <c r="J21" s="49">
        <f t="shared" si="7"/>
        <v>19857</v>
      </c>
      <c r="K21" s="49">
        <f t="shared" si="7"/>
        <v>112</v>
      </c>
      <c r="L21" s="58">
        <f t="shared" si="7"/>
        <v>2</v>
      </c>
    </row>
    <row r="22" spans="1:12" ht="18.75" customHeight="1">
      <c r="A22" s="1096"/>
      <c r="B22" s="959"/>
      <c r="C22" s="959"/>
      <c r="D22" s="1087" t="s">
        <v>114</v>
      </c>
      <c r="E22" s="1088"/>
      <c r="F22" s="49">
        <f aca="true" t="shared" si="8" ref="F22:L22">ROUND(F11*1000/$L$2,0)</f>
        <v>62098</v>
      </c>
      <c r="G22" s="49">
        <f t="shared" si="8"/>
        <v>62098</v>
      </c>
      <c r="H22" s="49">
        <f t="shared" si="8"/>
        <v>2092</v>
      </c>
      <c r="I22" s="49">
        <f t="shared" si="8"/>
        <v>128</v>
      </c>
      <c r="J22" s="49">
        <f t="shared" si="8"/>
        <v>59878</v>
      </c>
      <c r="K22" s="49">
        <f t="shared" si="8"/>
        <v>0</v>
      </c>
      <c r="L22" s="58">
        <f t="shared" si="8"/>
        <v>0</v>
      </c>
    </row>
    <row r="23" spans="1:12" ht="18.75" customHeight="1">
      <c r="A23" s="1096"/>
      <c r="B23" s="959"/>
      <c r="C23" s="959"/>
      <c r="D23" s="1087" t="s">
        <v>115</v>
      </c>
      <c r="E23" s="1088"/>
      <c r="F23" s="49">
        <f aca="true" t="shared" si="9" ref="F23:L23">ROUND(F12*1000/$L$2,0)</f>
        <v>53456</v>
      </c>
      <c r="G23" s="49">
        <f t="shared" si="9"/>
        <v>53395</v>
      </c>
      <c r="H23" s="49">
        <f t="shared" si="9"/>
        <v>1219</v>
      </c>
      <c r="I23" s="49">
        <f t="shared" si="9"/>
        <v>449</v>
      </c>
      <c r="J23" s="49">
        <f t="shared" si="9"/>
        <v>51727</v>
      </c>
      <c r="K23" s="49">
        <f t="shared" si="9"/>
        <v>61</v>
      </c>
      <c r="L23" s="58">
        <f t="shared" si="9"/>
        <v>0</v>
      </c>
    </row>
    <row r="24" spans="1:12" ht="18.75" customHeight="1">
      <c r="A24" s="1096"/>
      <c r="B24" s="959"/>
      <c r="C24" s="964"/>
      <c r="D24" s="1087" t="s">
        <v>116</v>
      </c>
      <c r="E24" s="1088"/>
      <c r="F24" s="49">
        <f aca="true" t="shared" si="10" ref="F24:L24">ROUND(F13*1000/$L$2,0)</f>
        <v>3448</v>
      </c>
      <c r="G24" s="49">
        <f t="shared" si="10"/>
        <v>3448</v>
      </c>
      <c r="H24" s="49">
        <f t="shared" si="10"/>
        <v>34</v>
      </c>
      <c r="I24" s="49">
        <f t="shared" si="10"/>
        <v>0</v>
      </c>
      <c r="J24" s="49">
        <f t="shared" si="10"/>
        <v>3414</v>
      </c>
      <c r="K24" s="49">
        <f t="shared" si="10"/>
        <v>0</v>
      </c>
      <c r="L24" s="58">
        <f t="shared" si="10"/>
        <v>0</v>
      </c>
    </row>
    <row r="25" spans="1:12" ht="18.75" customHeight="1">
      <c r="A25" s="1096"/>
      <c r="B25" s="959"/>
      <c r="C25" s="1087" t="s">
        <v>117</v>
      </c>
      <c r="D25" s="1092"/>
      <c r="E25" s="1088"/>
      <c r="F25" s="49">
        <f aca="true" t="shared" si="11" ref="F25:L25">ROUND(F14*1000/$L$2,0)</f>
        <v>131051</v>
      </c>
      <c r="G25" s="49">
        <f t="shared" si="11"/>
        <v>80359</v>
      </c>
      <c r="H25" s="49">
        <f t="shared" si="11"/>
        <v>38621</v>
      </c>
      <c r="I25" s="49">
        <f t="shared" si="11"/>
        <v>1645</v>
      </c>
      <c r="J25" s="49">
        <f t="shared" si="11"/>
        <v>40093</v>
      </c>
      <c r="K25" s="49">
        <f t="shared" si="11"/>
        <v>50690</v>
      </c>
      <c r="L25" s="58">
        <f t="shared" si="11"/>
        <v>3</v>
      </c>
    </row>
    <row r="26" spans="1:12" ht="18.75" customHeight="1" thickBot="1">
      <c r="A26" s="1097"/>
      <c r="B26" s="960"/>
      <c r="C26" s="1089" t="s">
        <v>118</v>
      </c>
      <c r="D26" s="1090"/>
      <c r="E26" s="1091"/>
      <c r="F26" s="41">
        <f aca="true" t="shared" si="12" ref="F26:L26">ROUND(F15*1000/$L$2,0)</f>
        <v>53894</v>
      </c>
      <c r="G26" s="41">
        <f t="shared" si="12"/>
        <v>53894</v>
      </c>
      <c r="H26" s="41">
        <f t="shared" si="12"/>
        <v>0</v>
      </c>
      <c r="I26" s="41">
        <f t="shared" si="12"/>
        <v>0</v>
      </c>
      <c r="J26" s="41">
        <f t="shared" si="12"/>
        <v>53894</v>
      </c>
      <c r="K26" s="41">
        <f t="shared" si="12"/>
        <v>0</v>
      </c>
      <c r="L26" s="42">
        <f t="shared" si="12"/>
        <v>0</v>
      </c>
    </row>
    <row r="27" ht="19.5" customHeight="1">
      <c r="A27" s="7" t="s">
        <v>120</v>
      </c>
    </row>
  </sheetData>
  <sheetProtection/>
  <mergeCells count="32">
    <mergeCell ref="K3:K4"/>
    <mergeCell ref="L3:L4"/>
    <mergeCell ref="A1:G1"/>
    <mergeCell ref="A3:E4"/>
    <mergeCell ref="F3:F4"/>
    <mergeCell ref="G3:J3"/>
    <mergeCell ref="A5:A15"/>
    <mergeCell ref="B5:E5"/>
    <mergeCell ref="B6:B15"/>
    <mergeCell ref="C6:E6"/>
    <mergeCell ref="C7:C13"/>
    <mergeCell ref="D7:E7"/>
    <mergeCell ref="D8:D9"/>
    <mergeCell ref="D10:E10"/>
    <mergeCell ref="D11:E11"/>
    <mergeCell ref="D12:E12"/>
    <mergeCell ref="D13:E13"/>
    <mergeCell ref="C14:E14"/>
    <mergeCell ref="C15:E15"/>
    <mergeCell ref="A16:A26"/>
    <mergeCell ref="B16:E16"/>
    <mergeCell ref="B17:B26"/>
    <mergeCell ref="C17:E17"/>
    <mergeCell ref="C18:C24"/>
    <mergeCell ref="D18:E18"/>
    <mergeCell ref="D19:D20"/>
    <mergeCell ref="D21:E21"/>
    <mergeCell ref="C26:E26"/>
    <mergeCell ref="D22:E22"/>
    <mergeCell ref="D23:E23"/>
    <mergeCell ref="D24:E24"/>
    <mergeCell ref="C25:E25"/>
  </mergeCells>
  <printOptions/>
  <pageMargins left="0.75" right="0.75" top="1" bottom="1" header="0.512" footer="0.512"/>
  <pageSetup horizontalDpi="300" verticalDpi="3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愛媛県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pref.ehime</dc:creator>
  <cp:keywords/>
  <dc:description/>
  <cp:lastModifiedBy>pc</cp:lastModifiedBy>
  <cp:lastPrinted>2022-12-05T02:00:08Z</cp:lastPrinted>
  <dcterms:created xsi:type="dcterms:W3CDTF">2007-11-16T08:17:15Z</dcterms:created>
  <dcterms:modified xsi:type="dcterms:W3CDTF">2022-12-13T22:43:27Z</dcterms:modified>
  <cp:category/>
  <cp:version/>
  <cp:contentType/>
  <cp:contentStatus/>
</cp:coreProperties>
</file>