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drawings/drawing2.xml" ContentType="application/vnd.openxmlformats-officedocument.drawing+xml"/>
  <Override PartName="/xl/worksheets/sheet28.xml" ContentType="application/vnd.openxmlformats-officedocument.spreadsheetml.worksheet+xml"/>
  <Override PartName="/xl/drawings/drawing4.xml" ContentType="application/vnd.openxmlformats-officedocument.drawing+xml"/>
  <Override PartName="/xl/worksheets/sheet29.xml" ContentType="application/vnd.openxmlformats-officedocument.spreadsheetml.worksheet+xml"/>
  <Override PartName="/xl/drawings/drawing5.xml" ContentType="application/vnd.openxmlformats-officedocument.drawing+xml"/>
  <Override PartName="/xl/worksheets/sheet30.xml" ContentType="application/vnd.openxmlformats-officedocument.spreadsheetml.worksheet+xml"/>
  <Override PartName="/xl/drawings/drawing7.xml" ContentType="application/vnd.openxmlformats-officedocument.drawing+xml"/>
  <Override PartName="/xl/worksheets/sheet31.xml" ContentType="application/vnd.openxmlformats-officedocument.spreadsheetml.worksheet+xml"/>
  <Override PartName="/xl/drawings/drawing8.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9.xml" ContentType="application/vnd.openxmlformats-officedocument.drawing+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45" activeTab="0"/>
  </bookViews>
  <sheets>
    <sheet name="表１" sheetId="1" r:id="rId1"/>
    <sheet name="表２" sheetId="2" r:id="rId2"/>
    <sheet name="表３" sheetId="3" r:id="rId3"/>
    <sheet name="表４" sheetId="4" r:id="rId4"/>
    <sheet name="表５" sheetId="5" r:id="rId5"/>
    <sheet name="表６" sheetId="6" r:id="rId6"/>
    <sheet name="表７" sheetId="7" r:id="rId7"/>
    <sheet name="表８" sheetId="8" r:id="rId8"/>
    <sheet name="表９" sheetId="9" r:id="rId9"/>
    <sheet name="表１０" sheetId="10" r:id="rId10"/>
    <sheet name="表１１" sheetId="11" r:id="rId11"/>
    <sheet name="表１２" sheetId="12" r:id="rId12"/>
    <sheet name="表１３" sheetId="13" r:id="rId13"/>
    <sheet name="表１４" sheetId="14" r:id="rId14"/>
    <sheet name="表１５" sheetId="15" r:id="rId15"/>
    <sheet name="表１６" sheetId="16" r:id="rId16"/>
    <sheet name="表１７" sheetId="17" r:id="rId17"/>
    <sheet name="表１８" sheetId="18" r:id="rId18"/>
    <sheet name="表１９" sheetId="19" r:id="rId19"/>
    <sheet name="表２０" sheetId="20" r:id="rId20"/>
    <sheet name="表２１－１" sheetId="21" r:id="rId21"/>
    <sheet name="表２１－２" sheetId="22" r:id="rId22"/>
    <sheet name="表２１－３" sheetId="23" r:id="rId23"/>
    <sheet name="表２２" sheetId="24" r:id="rId24"/>
    <sheet name="表２３" sheetId="25" r:id="rId25"/>
    <sheet name="第１表" sheetId="26" state="hidden" r:id="rId26"/>
    <sheet name="第２表" sheetId="27" state="hidden" r:id="rId27"/>
    <sheet name="図１" sheetId="28" state="hidden" r:id="rId28"/>
    <sheet name="第３表" sheetId="29" state="hidden" r:id="rId29"/>
    <sheet name="図2" sheetId="30" state="hidden" r:id="rId30"/>
    <sheet name="第４表" sheetId="31" state="hidden" r:id="rId31"/>
    <sheet name="第５表" sheetId="32" state="hidden" r:id="rId32"/>
    <sheet name="第６表" sheetId="33" state="hidden" r:id="rId33"/>
    <sheet name="第７表" sheetId="34" state="hidden" r:id="rId34"/>
    <sheet name="第８表" sheetId="35" state="hidden" r:id="rId35"/>
    <sheet name="第９表" sheetId="36" state="hidden" r:id="rId36"/>
    <sheet name="第10表" sheetId="37" state="hidden" r:id="rId37"/>
    <sheet name="第11表" sheetId="38" state="hidden" r:id="rId38"/>
    <sheet name="第12表" sheetId="39" state="hidden" r:id="rId39"/>
  </sheets>
  <externalReferences>
    <externalReference r:id="rId42"/>
  </externalReferences>
  <definedNames>
    <definedName name="_xlfn.IFERROR" hidden="1">#NAME?</definedName>
    <definedName name="_xlnm.Print_Area" localSheetId="25">'第１表'!$B$1:$I$37</definedName>
    <definedName name="_xlnm.Print_Area" localSheetId="0">'表１'!$A$1:$D$20</definedName>
    <definedName name="_xlnm.Print_Area" localSheetId="9">'表１０'!$A$1:$L$27</definedName>
    <definedName name="_xlnm.Print_Area" localSheetId="10">'表１１'!$A$1:$L$27</definedName>
    <definedName name="_xlnm.Print_Area" localSheetId="11">'表１２'!$A$1:$L$27</definedName>
    <definedName name="_xlnm.Print_Area" localSheetId="12">'表１３'!$A$1:$L$27</definedName>
    <definedName name="_xlnm.Print_Area" localSheetId="13">'表１４'!$A$1:$L$27</definedName>
    <definedName name="_xlnm.Print_Area" localSheetId="14">'表１５'!$A$1:$L$27</definedName>
    <definedName name="_xlnm.Print_Area" localSheetId="15">'表１６'!$A$1:$L$27</definedName>
    <definedName name="_xlnm.Print_Area" localSheetId="16">'表１７'!$A$1:$L$27</definedName>
    <definedName name="_xlnm.Print_Area" localSheetId="17">'表１８'!$A$1:$O$28</definedName>
    <definedName name="_xlnm.Print_Area" localSheetId="18">'表１９'!$A$1:$O$29</definedName>
    <definedName name="_xlnm.Print_Area" localSheetId="1">'表２'!$A$1:$J$34</definedName>
    <definedName name="_xlnm.Print_Area" localSheetId="19">'表２０'!$A$1:$K$34</definedName>
    <definedName name="_xlnm.Print_Area" localSheetId="21">'表２１－２'!$A$1:$AB$76</definedName>
    <definedName name="_xlnm.Print_Area" localSheetId="22">'表２１－３'!$A$1:$AA$76</definedName>
    <definedName name="_xlnm.Print_Area" localSheetId="23">'表２２'!$A$1:$J$27</definedName>
    <definedName name="_xlnm.Print_Area" localSheetId="24">'表２３'!$A$1:$M$25</definedName>
    <definedName name="_xlnm.Print_Area" localSheetId="2">'表３'!$A$1:$K$24</definedName>
    <definedName name="_xlnm.Print_Area" localSheetId="3">'表４'!$A$1:$I$15</definedName>
    <definedName name="_xlnm.Print_Area" localSheetId="4">'表５'!$A$1:$R$32</definedName>
    <definedName name="_xlnm.Print_Area" localSheetId="5">'表６'!$A$1:$L$19</definedName>
    <definedName name="_xlnm.Print_Area" localSheetId="6">'表７'!$A$1:$L$21</definedName>
    <definedName name="_xlnm.Print_Area" localSheetId="7">'表８'!$A$1:$L$27</definedName>
    <definedName name="_xlnm.Print_Area" localSheetId="8">'表９'!$A$1:$L$27</definedName>
    <definedName name="_xlnm.Print_Titles" localSheetId="17">'表１８'!$3:$4</definedName>
    <definedName name="_xlnm.Print_Titles" localSheetId="19">'表２０'!$2:$4</definedName>
    <definedName name="こども園">'[1]３ページ'!$AH$7</definedName>
    <definedName name="教育行政">'第４表'!$AJ$24</definedName>
    <definedName name="教育費総額">'第１表'!$AA$8</definedName>
    <definedName name="社会教育">'第４表'!$AI$24</definedName>
    <definedName name="小１人当">'第７表'!$E$6</definedName>
    <definedName name="小学校">'第４表'!$Z$24</definedName>
    <definedName name="専修">'第４表'!$AG$24</definedName>
    <definedName name="全学校">'第４表'!$X$24</definedName>
    <definedName name="全日制">'第４表'!$AC$24</definedName>
    <definedName name="中学校">'第４表'!$AA$24</definedName>
    <definedName name="中等">'第４表'!$AF$24</definedName>
    <definedName name="通信制">'第４表'!$AE$24</definedName>
    <definedName name="定時制">'第４表'!$AD$24</definedName>
    <definedName name="特殊学校">'第４表'!$AB$24</definedName>
    <definedName name="幼稚園">'第４表'!$Y$24</definedName>
  </definedNames>
  <calcPr fullCalcOnLoad="1"/>
</workbook>
</file>

<file path=xl/sharedStrings.xml><?xml version="1.0" encoding="utf-8"?>
<sst xmlns="http://schemas.openxmlformats.org/spreadsheetml/2006/main" count="1701" uniqueCount="563">
  <si>
    <t>表１　用語解説</t>
  </si>
  <si>
    <t>主な用語</t>
  </si>
  <si>
    <t>解　　説　（調査対象経費）</t>
  </si>
  <si>
    <t>財源（負担区分別）</t>
  </si>
  <si>
    <t>公　　　費</t>
  </si>
  <si>
    <t>国庫補助金</t>
  </si>
  <si>
    <t>国が地方公共団体に対し、教育に関して交付する補助金及び負担金をいう。
ただし、財源補てんの性格を有する補助金及び委託事務に関する経費は調査対象外とする。</t>
  </si>
  <si>
    <t>市町村支出金</t>
  </si>
  <si>
    <t>市町村が市町村の租税、地方交付税、使用料、基金運用収入等の財源から教育のために支出した金額をいう。</t>
  </si>
  <si>
    <t>地方債</t>
  </si>
  <si>
    <t>地方公共団体が、その学校等の新設、災害復旧のために起債した経費のうち、当該会計年度の決算に属すべき経費をいう。ただし、一時借入金は調査対象外とする。</t>
  </si>
  <si>
    <t>地方公共団体の歳入として、決算に計上された寄付金、贈与金で、当該年度中に教育のために支出した金額をいう。</t>
  </si>
  <si>
    <t>支出項目（使途別）</t>
  </si>
  <si>
    <t>消費的支出</t>
  </si>
  <si>
    <t>人件費</t>
  </si>
  <si>
    <t>教職員の給与並びに共済組合等負担金、恩給費等及び退職・死傷手当等の経費をいう。</t>
  </si>
  <si>
    <t>教育活動費</t>
  </si>
  <si>
    <t>児童・生徒に対する教授及び授業並びに授業の補助のために要した経費をいう。
（例）特別活動・修学旅行費、教授用消耗品費、旅費</t>
  </si>
  <si>
    <t>管理費</t>
  </si>
  <si>
    <t>土地・建物・設備等を常に使用しうる状態に維持するのに要した経費をいう。
（例）修繕費、消耗品費、光熱水費</t>
  </si>
  <si>
    <t>補助活動費</t>
  </si>
  <si>
    <t>正規の学校教育活動の中には含まれないが、それと密接な関係を有している学校の事業に要した経費をいう。
（例）健康診断・身体検査等に要した経費</t>
  </si>
  <si>
    <t>所定支払金</t>
  </si>
  <si>
    <t>資本的支出</t>
  </si>
  <si>
    <t>土地・建造物及び設備・備品の取得、取替え、補充に要した経費をいう。</t>
  </si>
  <si>
    <t>債務償還費</t>
  </si>
  <si>
    <t>地方債の元金の返済、利子の支払い及び手数料に要した経費をいう。</t>
  </si>
  <si>
    <t>実額（単位・千円）</t>
  </si>
  <si>
    <t>教育費総額</t>
  </si>
  <si>
    <t>Ａ　学校教育費</t>
  </si>
  <si>
    <t>幼稚園</t>
  </si>
  <si>
    <t>小学校</t>
  </si>
  <si>
    <t>中学校</t>
  </si>
  <si>
    <t>高等学校</t>
  </si>
  <si>
    <t>全日制課程</t>
  </si>
  <si>
    <t>定時制課程</t>
  </si>
  <si>
    <t>通信制課程</t>
  </si>
  <si>
    <t>計</t>
  </si>
  <si>
    <t>中等教育学校</t>
  </si>
  <si>
    <t>専修学校</t>
  </si>
  <si>
    <t>Ｂ　社会教育費</t>
  </si>
  <si>
    <t>Ｃ　教育行政費</t>
  </si>
  <si>
    <t>指　　　　　数</t>
  </si>
  <si>
    <t>表３　教育費総額の財源別推移（実額）</t>
  </si>
  <si>
    <t>区　　　分</t>
  </si>
  <si>
    <t>Ⅰ　地方債・寄付金以外の公費</t>
  </si>
  <si>
    <t>国庫補助金</t>
  </si>
  <si>
    <t>市町村支出金</t>
  </si>
  <si>
    <t>Ⅱ地方債</t>
  </si>
  <si>
    <t>Ⅲ寄付金</t>
  </si>
  <si>
    <t>公費に組み入れられない寄付金</t>
  </si>
  <si>
    <t>その他の寄付金</t>
  </si>
  <si>
    <t>指　　　　数</t>
  </si>
  <si>
    <t>Ⅱ　地方債</t>
  </si>
  <si>
    <t>Ⅲ　寄付金</t>
  </si>
  <si>
    <t>表４　在学者（県民）1人当たり教育費推移</t>
  </si>
  <si>
    <t>実額（単位・円）</t>
  </si>
  <si>
    <t>表５　地方教育費に関する総括表（実額）</t>
  </si>
  <si>
    <t>（単位：千円）</t>
  </si>
  <si>
    <t>総　　　額</t>
  </si>
  <si>
    <t>学　　　　校　　　　教　　　　育　　　　費</t>
  </si>
  <si>
    <t>社会
教育費</t>
  </si>
  <si>
    <t>教育
行政費</t>
  </si>
  <si>
    <t>全学校</t>
  </si>
  <si>
    <t>全日制
高等学校</t>
  </si>
  <si>
    <t>定時制
高等学校</t>
  </si>
  <si>
    <t>通信制
高等学校</t>
  </si>
  <si>
    <t>中等教育
学校</t>
  </si>
  <si>
    <t>１　教育費総額</t>
  </si>
  <si>
    <t>２　財源別内訳</t>
  </si>
  <si>
    <t>Ａ　地方債・寄付金以外の公費</t>
  </si>
  <si>
    <t>１　国庫補助金</t>
  </si>
  <si>
    <t>３　市町村支出金</t>
  </si>
  <si>
    <t>Ｂ　地方債</t>
  </si>
  <si>
    <t>３　支出項目別内訳</t>
  </si>
  <si>
    <t>Ａ　消費的支出</t>
  </si>
  <si>
    <t>１　人件費</t>
  </si>
  <si>
    <t>ａ　本務教員の給与</t>
  </si>
  <si>
    <t>ｂ　ａ以外の人件費</t>
  </si>
  <si>
    <t>２　教育活動費</t>
  </si>
  <si>
    <t>３　管理費</t>
  </si>
  <si>
    <t>４　補助活動費</t>
  </si>
  <si>
    <t>５　所定支払金</t>
  </si>
  <si>
    <t>Ｂ　資本的支出</t>
  </si>
  <si>
    <t>１　土地費</t>
  </si>
  <si>
    <t>２　建築費</t>
  </si>
  <si>
    <t>３　設備・備品費</t>
  </si>
  <si>
    <t>４　図書購入費</t>
  </si>
  <si>
    <t>Ｃ　債務償還費</t>
  </si>
  <si>
    <t>４　在学者・県民一人当たり経費（円）</t>
  </si>
  <si>
    <t>５　在学者数（県人口）（人）</t>
  </si>
  <si>
    <t>表６　教育費総額（教育分野別・財源別）─実額─</t>
  </si>
  <si>
    <t>　　　　　　　　　財　源
　教育分野</t>
  </si>
  <si>
    <t>地方債・寄付金以外の公費</t>
  </si>
  <si>
    <t>地方債</t>
  </si>
  <si>
    <t>合　　計</t>
  </si>
  <si>
    <t>１幼稚園</t>
  </si>
  <si>
    <t>２小学校</t>
  </si>
  <si>
    <t>３中学校　</t>
  </si>
  <si>
    <t>５高等学校</t>
  </si>
  <si>
    <t>６中等教育学校</t>
  </si>
  <si>
    <t>７専修学校</t>
  </si>
  <si>
    <t>表７　教育費総額（教育分野別・財源別）─在学者（県民）1人当たり教育費（年額）─</t>
  </si>
  <si>
    <t>　２　円未満を四捨五入したため、計と内訳が一致しない場合がある。</t>
  </si>
  <si>
    <t>表８　幼稚園教育費（支出項目別・財源別）</t>
  </si>
  <si>
    <t>園児数</t>
  </si>
  <si>
    <t>　　　　　　　　財　　源
支出項目</t>
  </si>
  <si>
    <t>地方債</t>
  </si>
  <si>
    <t>合計</t>
  </si>
  <si>
    <t>学校教育費</t>
  </si>
  <si>
    <t>消費的支出</t>
  </si>
  <si>
    <t>人件費</t>
  </si>
  <si>
    <t>b a以外の人件費</t>
  </si>
  <si>
    <t>教育活動費</t>
  </si>
  <si>
    <t>管理費</t>
  </si>
  <si>
    <t>補助活動費</t>
  </si>
  <si>
    <t>所定支払金</t>
  </si>
  <si>
    <t>資本的支出</t>
  </si>
  <si>
    <t>債務償還費</t>
  </si>
  <si>
    <t>園児一人当たり経費（単位・円）</t>
  </si>
  <si>
    <t>注　１人当たり経費は円未満を四捨五入したため、計と内訳が一致しない場合がある。</t>
  </si>
  <si>
    <t>表９　小学校教育費（支出項目別・財源別）</t>
  </si>
  <si>
    <t>児童数</t>
  </si>
  <si>
    <t>児童一人当たり経費（単位・円）</t>
  </si>
  <si>
    <t>表１０　中学校教育費（支出項目別・財源別）</t>
  </si>
  <si>
    <t>生徒数</t>
  </si>
  <si>
    <t>生徒一人当たり経費（単位・円）</t>
  </si>
  <si>
    <t>表１２　高等学校全日制課程教育費（支出項目別・財源別）</t>
  </si>
  <si>
    <t>表１３　高等学校定時制課程教育費（支出項目別・財源別）</t>
  </si>
  <si>
    <t>表１４　高等学校通信制課程教育費（支出項目別・財源別）</t>
  </si>
  <si>
    <t>(単位：千円）</t>
  </si>
  <si>
    <t>　　　　　　　　　　財　　源
　支出項目</t>
  </si>
  <si>
    <t>教育費総額</t>
  </si>
  <si>
    <t>地方債・寄付金以外の公費</t>
  </si>
  <si>
    <t>支出項目別内訳</t>
  </si>
  <si>
    <t>合計</t>
  </si>
  <si>
    <t>消費的支出</t>
  </si>
  <si>
    <t>資本的支出</t>
  </si>
  <si>
    <t>債務償還費</t>
  </si>
  <si>
    <t>県</t>
  </si>
  <si>
    <t>Ⅰ 社会教育費総額</t>
  </si>
  <si>
    <t>１ 公民館費総額</t>
  </si>
  <si>
    <t>２ 図書館費総額</t>
  </si>
  <si>
    <t>３ 博物館費総額</t>
  </si>
  <si>
    <t>４ 体育施設費総額</t>
  </si>
  <si>
    <t>５ 青少年教育施設費総額</t>
  </si>
  <si>
    <t>６ 女性教育施設費総額</t>
  </si>
  <si>
    <t>７ 文化会館費総額</t>
  </si>
  <si>
    <t>８ その他の社会教育施設費総額</t>
  </si>
  <si>
    <t>９ 教育委員会が行った
　　　社会教育活動費総額</t>
  </si>
  <si>
    <t>10 文化財保護費総額</t>
  </si>
  <si>
    <t>Ⅱ 教育行政費総額</t>
  </si>
  <si>
    <t>市町村</t>
  </si>
  <si>
    <t>県人口</t>
  </si>
  <si>
    <t>　　　　　　　　項　目
　教育施設</t>
  </si>
  <si>
    <t>授業料</t>
  </si>
  <si>
    <t>入学金</t>
  </si>
  <si>
    <t>検定料</t>
  </si>
  <si>
    <t>日本スポーツ
振興ｾﾝﾀｰ
共済掛金</t>
  </si>
  <si>
    <t>その他
の収入</t>
  </si>
  <si>
    <t>特別会計
収入</t>
  </si>
  <si>
    <t>全教育施設</t>
  </si>
  <si>
    <t>中等教育学校</t>
  </si>
  <si>
    <t>社会教育費</t>
  </si>
  <si>
    <t>教育行政費</t>
  </si>
  <si>
    <t>区　　　　　分</t>
  </si>
  <si>
    <t>合　　　　　　　計　　　　　　</t>
  </si>
  <si>
    <t>財　　　　　　　　源　　　　　　　　別</t>
  </si>
  <si>
    <t>都　道　府　県　支　出　金</t>
  </si>
  <si>
    <t>前年度合計</t>
  </si>
  <si>
    <t>当該年度合計</t>
  </si>
  <si>
    <t>増　減　額</t>
  </si>
  <si>
    <t>伸率％</t>
  </si>
  <si>
    <t>増減額</t>
  </si>
  <si>
    <t>前年度合計</t>
  </si>
  <si>
    <t>教育費総合計（学校＋社会＋行政）</t>
  </si>
  <si>
    <t>学校教育費：</t>
  </si>
  <si>
    <t>幼稚園</t>
  </si>
  <si>
    <t>小学校</t>
  </si>
  <si>
    <t>中学校</t>
  </si>
  <si>
    <t>高等学校（全日制）</t>
  </si>
  <si>
    <t>高等学校（定時制）</t>
  </si>
  <si>
    <t>高等学校（通信制）</t>
  </si>
  <si>
    <t>専修学校</t>
  </si>
  <si>
    <t>各種学校</t>
  </si>
  <si>
    <t>高等専門学校</t>
  </si>
  <si>
    <t xml:space="preserve"> </t>
  </si>
  <si>
    <t>公民館</t>
  </si>
  <si>
    <t>図書館</t>
  </si>
  <si>
    <t>博物館</t>
  </si>
  <si>
    <t>体育施設</t>
  </si>
  <si>
    <t>青少年教育施設</t>
  </si>
  <si>
    <t>女性教育施設</t>
  </si>
  <si>
    <t>文化会館</t>
  </si>
  <si>
    <t>その他の社会教育施設</t>
  </si>
  <si>
    <t>教育委員会が行った社会教育活動</t>
  </si>
  <si>
    <t>文化財保護</t>
  </si>
  <si>
    <t>財　　　　源　　　　別(つづき)</t>
  </si>
  <si>
    <t>支　　出　　項　　目　　別</t>
  </si>
  <si>
    <t>教育に係る収入総額</t>
  </si>
  <si>
    <t>消　費　的　支　出</t>
  </si>
  <si>
    <t>集計の種類：　都道府県</t>
  </si>
  <si>
    <t>合　　　　　　</t>
  </si>
  <si>
    <t>計</t>
  </si>
  <si>
    <t>財　　　　　源　　　　　別</t>
  </si>
  <si>
    <t>市　町　村　支　出　金</t>
  </si>
  <si>
    <t>地　　　方　　　債</t>
  </si>
  <si>
    <t>財　　　　　源　　　　　別　（つづき）</t>
  </si>
  <si>
    <t>教 育 に 係 る 収 入 総 額</t>
  </si>
  <si>
    <t>資　本　的　支　出</t>
  </si>
  <si>
    <t>債　務　償　還　費</t>
  </si>
  <si>
    <t>集計の種類：　市町村</t>
  </si>
  <si>
    <t>県民１人当たり</t>
  </si>
  <si>
    <t>園児１人当たり</t>
  </si>
  <si>
    <t>児童１人当たり</t>
  </si>
  <si>
    <t>１学級当たり</t>
  </si>
  <si>
    <t>生徒１人当たり</t>
  </si>
  <si>
    <t>注　教育費総額から公費に組み入れられない寄付金を除いたもので経費を算出。
　</t>
  </si>
  <si>
    <t>(単位：千円）</t>
  </si>
  <si>
    <t>　　　　　　　　　　財　　源
　施設区分</t>
  </si>
  <si>
    <t>総　　額</t>
  </si>
  <si>
    <t>知　事　部　局</t>
  </si>
  <si>
    <t>Ⅰ 生涯学習関連費</t>
  </si>
  <si>
    <t>４ 体育施設費</t>
  </si>
  <si>
    <t>５ 青少年教育施設費</t>
  </si>
  <si>
    <t>６ 女性教育施設費</t>
  </si>
  <si>
    <t>７ 文化会館費</t>
  </si>
  <si>
    <t>８ その他の生涯学習関連施設費</t>
  </si>
  <si>
    <t>10 文化財保護費</t>
  </si>
  <si>
    <t>Ⅰ 社会教育費</t>
  </si>
  <si>
    <t>１ 公民館費</t>
  </si>
  <si>
    <t>２ 図書館費</t>
  </si>
  <si>
    <t>３ 博物館費</t>
  </si>
  <si>
    <t>８ その他の社会教育施設費</t>
  </si>
  <si>
    <t>９ 教育委員会が行った
　　　社会教育活動費</t>
  </si>
  <si>
    <t>合　　　計</t>
  </si>
  <si>
    <t>表１６　専修学校教育費（支出項目別・財源別）</t>
  </si>
  <si>
    <t>表１５　中等教育学校教育費（支出項目別・財源別）</t>
  </si>
  <si>
    <t>社会教育施設</t>
  </si>
  <si>
    <t>教育行政機関</t>
  </si>
  <si>
    <t>県教育委員会</t>
  </si>
  <si>
    <t>特別支援学校</t>
  </si>
  <si>
    <t>４　特別支援学校</t>
  </si>
  <si>
    <t>特別支援学校</t>
  </si>
  <si>
    <t>表１１　特別支援学校教育費（支出項目別・財源別）</t>
  </si>
  <si>
    <t>特別支援学校</t>
  </si>
  <si>
    <t>私費</t>
  </si>
  <si>
    <t>都　道　府　県　支　出　金</t>
  </si>
  <si>
    <t>国　庫　補　助　金</t>
  </si>
  <si>
    <t>市　町　村　支　出　金</t>
  </si>
  <si>
    <t>定期的に支払義務を生ずる経費をいう。
（例）日本スポーツ振興センター共済掛金</t>
  </si>
  <si>
    <t>公費に組み入れられ
ない寄付金</t>
  </si>
  <si>
    <t>都道府県支出金</t>
  </si>
  <si>
    <t>都道府県が都道府県の租税、地方交付税、使用料、基金運用収入等の財源から教育のために支出した金額をいう。</t>
  </si>
  <si>
    <t>公費組入れ寄付金</t>
  </si>
  <si>
    <t>団体又は個人からの寄付金のうち、県の歳入に計上されなかったものをいう。　　※社会教育費のみ調査対象</t>
  </si>
  <si>
    <t>公費組入れ寄付金</t>
  </si>
  <si>
    <t>都道府県支出金</t>
  </si>
  <si>
    <t>２　都道府県支出金</t>
  </si>
  <si>
    <t>Ｃ　公費組入れ寄付金</t>
  </si>
  <si>
    <t>D　公費に組み入れられない寄付金</t>
  </si>
  <si>
    <t>公費組入れ
寄付金</t>
  </si>
  <si>
    <t>公費に組み
入れられない寄付金</t>
  </si>
  <si>
    <t>都道府県支出金</t>
  </si>
  <si>
    <t>公費組入れ寄付金</t>
  </si>
  <si>
    <t>公費組入れ寄付金</t>
  </si>
  <si>
    <t>公費に組み入れられない寄付金</t>
  </si>
  <si>
    <t>公費組入れ寄付金</t>
  </si>
  <si>
    <t>国庫補助金</t>
  </si>
  <si>
    <t>市町村支出金</t>
  </si>
  <si>
    <t>国　庫　補　助　金</t>
  </si>
  <si>
    <t>市　町　村　支　出　金</t>
  </si>
  <si>
    <t>社会教育費：</t>
  </si>
  <si>
    <t>教育行政費：</t>
  </si>
  <si>
    <t xml:space="preserve"> </t>
  </si>
  <si>
    <t>　</t>
  </si>
  <si>
    <t>消　費　的　支　出</t>
  </si>
  <si>
    <t>※公費に組み入れられない寄付金は、平成20会計年度調査以降では社会教育費を除き調査対象外。</t>
  </si>
  <si>
    <t>（単位:円）</t>
  </si>
  <si>
    <t>区  分</t>
  </si>
  <si>
    <t>a 本務教員給与</t>
  </si>
  <si>
    <t>a 本務教員給与</t>
  </si>
  <si>
    <t>　</t>
  </si>
  <si>
    <t>公費に組み入れられない寄付金</t>
  </si>
  <si>
    <t>地　　　方　　　債</t>
  </si>
  <si>
    <t>(単位：円）</t>
  </si>
  <si>
    <t>市町名</t>
  </si>
  <si>
    <t>小　　学　　校</t>
  </si>
  <si>
    <t>中　　学　　校</t>
  </si>
  <si>
    <t>　</t>
  </si>
  <si>
    <t>　　</t>
  </si>
  <si>
    <t>支出項目別内訳</t>
  </si>
  <si>
    <t>国庫補助金</t>
  </si>
  <si>
    <t>市町村支出金</t>
  </si>
  <si>
    <t>資本的支出</t>
  </si>
  <si>
    <t>教育費総額</t>
  </si>
  <si>
    <t>－</t>
  </si>
  <si>
    <t>－</t>
  </si>
  <si>
    <t>　</t>
  </si>
  <si>
    <t>(単位：千円)</t>
  </si>
  <si>
    <t>都　道　府　県　支　出　金</t>
  </si>
  <si>
    <t>(再褐)教育行政費のうち奨学費</t>
  </si>
  <si>
    <t>教育行政費のうち奨学費(再褐)</t>
  </si>
  <si>
    <t>教育行政費の消費的支出のうち、学校の児童・生徒のために奨学費(学校教育費調査票に計上した奨学費は除く。)として支出した経費をいう。
※大学・短期大学及び私立学校を対象として奨学費については対象外
(例)奨学資金貸付金、奨学団体等を経由して支出した奨学金</t>
  </si>
  <si>
    <t>(単位：千円）</t>
  </si>
  <si>
    <t>教育行政費のうち奨学費
(再褐)</t>
  </si>
  <si>
    <t>地　　　方　　　債</t>
  </si>
  <si>
    <t>表１８　分野別の社会教育費・教育行政費（財源別・支出項目別）─実額─</t>
  </si>
  <si>
    <t>表１９　分野別の社会教育費・教育行政費（財源別・支出項目別）─県民１人当たり経費─</t>
  </si>
  <si>
    <t>表２０　教育施設に伴う収入（教育施設別・項目別）─実額─</t>
  </si>
  <si>
    <t>表２１-１　地方教育費調査　前年度比較参照リスト</t>
  </si>
  <si>
    <t>表２１-２　地方教育費調査　前年度比較参照リスト</t>
  </si>
  <si>
    <t>表２１-３　地方教育費調査　前年度比較参照リスト</t>
  </si>
  <si>
    <t>表２２　在学者（県民）１人当たり及び１学級当たり経費の市町村別一覧</t>
  </si>
  <si>
    <t>表２３　知事部局における生涯学習関連費と県教育委員会の社会教育費</t>
  </si>
  <si>
    <t>園児数</t>
  </si>
  <si>
    <t>認定こども園</t>
  </si>
  <si>
    <t>８認定こども園</t>
  </si>
  <si>
    <t>集計の種類：　総額（都道府県＋市町村）</t>
  </si>
  <si>
    <t>義務教育学校</t>
  </si>
  <si>
    <t>幼保連携型認定こども園</t>
  </si>
  <si>
    <t>認定こども園</t>
  </si>
  <si>
    <t>※幼保連携型認定こども園は、平成27会計年度から調査対象。</t>
  </si>
  <si>
    <t>幼保連携型
認定こども園</t>
  </si>
  <si>
    <t>表１７　幼保連携型認定こども園教育費（支出項目別・財源別）</t>
  </si>
  <si>
    <t>平成29年度</t>
  </si>
  <si>
    <t>義務教育学校</t>
  </si>
  <si>
    <t>平成30年度</t>
  </si>
  <si>
    <t>令和元年度</t>
  </si>
  <si>
    <t>令和２年度</t>
  </si>
  <si>
    <t>令和２年度</t>
  </si>
  <si>
    <t>令和元年度</t>
  </si>
  <si>
    <t>６ 女性関連施設費</t>
  </si>
  <si>
    <t>(単位：円)</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</si>
  <si>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</si>
  <si>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</si>
  <si>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</si>
  <si>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</si>
  <si>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</si>
  <si>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</si>
  <si>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</si>
  <si>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</si>
  <si>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</si>
  <si>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</si>
  <si>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</si>
  <si>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</si>
  <si>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</si>
  <si>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</si>
  <si>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</si>
  <si>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</si>
  <si>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</si>
  <si>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</si>
  <si>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鬼北町</t>
  </si>
  <si>
    <t>愛南町</t>
  </si>
  <si>
    <t>篠山組合</t>
  </si>
  <si>
    <t>項目</t>
  </si>
  <si>
    <t>愛　　　　媛　　　　県</t>
  </si>
  <si>
    <t>全　　　国</t>
  </si>
  <si>
    <t>会計年度</t>
  </si>
  <si>
    <t>実額</t>
  </si>
  <si>
    <t>学校教育費</t>
  </si>
  <si>
    <t>実額</t>
  </si>
  <si>
    <t>千円</t>
  </si>
  <si>
    <t>％</t>
  </si>
  <si>
    <t>平成29会計年度</t>
  </si>
  <si>
    <t>平成30会計年度</t>
  </si>
  <si>
    <t>令和元会計年度</t>
  </si>
  <si>
    <t>(千円)</t>
  </si>
  <si>
    <t>(％)</t>
  </si>
  <si>
    <t>対前年度
増加率</t>
  </si>
  <si>
    <t>P1　第１表</t>
  </si>
  <si>
    <t>教育分野</t>
  </si>
  <si>
    <t>構成比</t>
  </si>
  <si>
    <t>　</t>
  </si>
  <si>
    <t>中等教育学校</t>
  </si>
  <si>
    <t>幼保連携型認定こども園</t>
  </si>
  <si>
    <t>B　社会教育費</t>
  </si>
  <si>
    <t>学校教育費総額</t>
  </si>
  <si>
    <t>高等学校(全日)</t>
  </si>
  <si>
    <t>その他</t>
  </si>
  <si>
    <t>区分</t>
  </si>
  <si>
    <t>総額</t>
  </si>
  <si>
    <t>県支出金</t>
  </si>
  <si>
    <t>P２　　第３表</t>
  </si>
  <si>
    <t>P２　　第２表</t>
  </si>
  <si>
    <t>Ⅲ寄附金</t>
  </si>
  <si>
    <t>　公費に組み入れられた寄付金</t>
  </si>
  <si>
    <t>　公費に組み入れられない寄付金</t>
  </si>
  <si>
    <t>市町支出金</t>
  </si>
  <si>
    <t>寄付金</t>
  </si>
  <si>
    <t>今年度</t>
  </si>
  <si>
    <t>社会教育</t>
  </si>
  <si>
    <t>教育行政</t>
  </si>
  <si>
    <t>定時制課程</t>
  </si>
  <si>
    <t>通信制課程</t>
  </si>
  <si>
    <t>Ⅲ公費に組み入れられた寄付金</t>
  </si>
  <si>
    <t>P3　第４表</t>
  </si>
  <si>
    <t>Ⅳ公費に組み入れられない寄付金</t>
  </si>
  <si>
    <t>教　　育　　費　　総　　額</t>
  </si>
  <si>
    <t>公費に組み入れられた寄付金</t>
  </si>
  <si>
    <t>公費に組み入れられなかった寄付金</t>
  </si>
  <si>
    <t>社会
教育</t>
  </si>
  <si>
    <t>教育
行政</t>
  </si>
  <si>
    <t>専修
学校</t>
  </si>
  <si>
    <t>全日制</t>
  </si>
  <si>
    <t>定時制</t>
  </si>
  <si>
    <t>通信制</t>
  </si>
  <si>
    <t>表２　教育費総額の教育分野別推移（実額）</t>
  </si>
  <si>
    <t>２年度</t>
  </si>
  <si>
    <t>対前年度増加率</t>
  </si>
  <si>
    <t>千円</t>
  </si>
  <si>
    <t>％</t>
  </si>
  <si>
    <t>区分</t>
  </si>
  <si>
    <t>実　　額</t>
  </si>
  <si>
    <t>構　成　比</t>
  </si>
  <si>
    <t>教育費総額</t>
  </si>
  <si>
    <t>消費的支出</t>
  </si>
  <si>
    <t>債務償還費</t>
  </si>
  <si>
    <t>P3　第5表</t>
  </si>
  <si>
    <t>円</t>
  </si>
  <si>
    <t>Ａ　学校教育費</t>
  </si>
  <si>
    <t>幼稚園</t>
  </si>
  <si>
    <t>小学校</t>
  </si>
  <si>
    <t>中学校</t>
  </si>
  <si>
    <t>特別支援学校</t>
  </si>
  <si>
    <t>高等学校</t>
  </si>
  <si>
    <t>全日制課程</t>
  </si>
  <si>
    <t>定時制課程</t>
  </si>
  <si>
    <t>通信制課程</t>
  </si>
  <si>
    <t>中等教育学校</t>
  </si>
  <si>
    <t>専修学校</t>
  </si>
  <si>
    <t>Ｃ　教育行政費</t>
  </si>
  <si>
    <t>注　　指数は、小学校の児童１人当たり教育費を100として求めた数値である。</t>
  </si>
  <si>
    <t>指数
（小=100）</t>
  </si>
  <si>
    <t>前年度</t>
  </si>
  <si>
    <t>⇐入力要</t>
  </si>
  <si>
    <t>増減率</t>
  </si>
  <si>
    <t>増減率*100</t>
  </si>
  <si>
    <t>〔参考〕</t>
  </si>
  <si>
    <t>寄付金総額</t>
  </si>
  <si>
    <t>寄付金総額</t>
  </si>
  <si>
    <t>千円</t>
  </si>
  <si>
    <t>円</t>
  </si>
  <si>
    <t>認定こども園</t>
  </si>
  <si>
    <t>B　社会教育費</t>
  </si>
  <si>
    <t>％</t>
  </si>
  <si>
    <t>　</t>
  </si>
  <si>
    <t>寄付金
総額</t>
  </si>
  <si>
    <t>P4　第７表</t>
  </si>
  <si>
    <t>P4　第８表</t>
  </si>
  <si>
    <t>-</t>
  </si>
  <si>
    <t>構成比</t>
  </si>
  <si>
    <t>１　人件費</t>
  </si>
  <si>
    <t>２　教育活動費</t>
  </si>
  <si>
    <t>３　管理費</t>
  </si>
  <si>
    <t>４　補助活動費</t>
  </si>
  <si>
    <t>５　所定支払金</t>
  </si>
  <si>
    <t>P４　第９表</t>
  </si>
  <si>
    <t>⇐貼付用</t>
  </si>
  <si>
    <t>⇐参照元</t>
  </si>
  <si>
    <t>教育施設</t>
  </si>
  <si>
    <t>収入総額</t>
  </si>
  <si>
    <t>全教育施設</t>
  </si>
  <si>
    <t>Ａ　全学校</t>
  </si>
  <si>
    <t>B　社会教育施設</t>
  </si>
  <si>
    <t>Ｃ　教育行政機関</t>
  </si>
  <si>
    <t>P4　第10表</t>
  </si>
  <si>
    <t>支出総額</t>
  </si>
  <si>
    <t>支出項目別内訳</t>
  </si>
  <si>
    <t>構成比</t>
  </si>
  <si>
    <t>比率</t>
  </si>
  <si>
    <t>生涯学習関連費</t>
  </si>
  <si>
    <t>千円</t>
  </si>
  <si>
    <t>体育施設費</t>
  </si>
  <si>
    <t>青少年教育施設費</t>
  </si>
  <si>
    <t>女性教育施設費</t>
  </si>
  <si>
    <t>文化会館費</t>
  </si>
  <si>
    <t>その他の生涯学習関連施設費</t>
  </si>
  <si>
    <t>合計額</t>
  </si>
  <si>
    <t>県教育委員会所管の社会教育費</t>
  </si>
  <si>
    <t>知事部局の生涯学習関連費</t>
  </si>
  <si>
    <t>支出額</t>
  </si>
  <si>
    <t>社会教育費</t>
  </si>
  <si>
    <t>（生涯学習関連費含む）</t>
  </si>
  <si>
    <t>公民館費</t>
  </si>
  <si>
    <t>図書館費</t>
  </si>
  <si>
    <t>博物館費</t>
  </si>
  <si>
    <t>その他</t>
  </si>
  <si>
    <t>P７ 第１１表</t>
  </si>
  <si>
    <t>P７ 第12表</t>
  </si>
  <si>
    <t>文化財保護費</t>
  </si>
  <si>
    <t>教育委員会が行った社会教育活動費</t>
  </si>
  <si>
    <t>計</t>
  </si>
  <si>
    <t>学校教育費</t>
  </si>
  <si>
    <t>全学校</t>
  </si>
  <si>
    <t>１　教育費総額</t>
  </si>
  <si>
    <t>Ⅰ　消費的支出</t>
  </si>
  <si>
    <t>ａ　本務教員の給与</t>
  </si>
  <si>
    <t>ｂ　ａ以外の人件費</t>
  </si>
  <si>
    <t>Ⅱ　資本的支出</t>
  </si>
  <si>
    <t>１　土地費</t>
  </si>
  <si>
    <t>２　建築費</t>
  </si>
  <si>
    <t>３　設備・備品費</t>
  </si>
  <si>
    <t>４　図書購入費</t>
  </si>
  <si>
    <t>Ⅲ　債務償還費</t>
  </si>
  <si>
    <t>社会
教育費</t>
  </si>
  <si>
    <t>教育
行政費</t>
  </si>
  <si>
    <t>幼保連携型
認定こども園</t>
  </si>
  <si>
    <t>中等
教育学校</t>
  </si>
  <si>
    <t>通信制
高等学校</t>
  </si>
  <si>
    <t>定時制
高等学校</t>
  </si>
  <si>
    <t>全日制
高等学校</t>
  </si>
  <si>
    <t>特別
支援
学校</t>
  </si>
  <si>
    <t>　　　　　　　　　　　教育分野
　区分</t>
  </si>
  <si>
    <t>⇐参照用</t>
  </si>
  <si>
    <t>⇐貼付用</t>
  </si>
  <si>
    <t>第２表　教育費総額の教育分野別実額</t>
  </si>
  <si>
    <t>第３表　教育費総額の財源別実額</t>
  </si>
  <si>
    <t>対前年度
増加率</t>
  </si>
  <si>
    <t>財　　源</t>
  </si>
  <si>
    <t>教　育　分　野</t>
  </si>
  <si>
    <t>実　額</t>
  </si>
  <si>
    <t>学　校　教　育　費</t>
  </si>
  <si>
    <t>全日制</t>
  </si>
  <si>
    <t>定時制</t>
  </si>
  <si>
    <t>通信制</t>
  </si>
  <si>
    <t>特別支援学校</t>
  </si>
  <si>
    <t>教育費総額</t>
  </si>
  <si>
    <t>　　　　　　　　　　　教育分野
　区　分</t>
  </si>
  <si>
    <t>幼　稚　園</t>
  </si>
  <si>
    <t>小　学　校</t>
  </si>
  <si>
    <t>中　学　校</t>
  </si>
  <si>
    <t>専　修　学　校</t>
  </si>
  <si>
    <t>各教育分野の教育費総額に占める割合</t>
  </si>
  <si>
    <t>在学者（県民）1人当たり</t>
  </si>
  <si>
    <t>寄付金総額の対前年度増加率</t>
  </si>
  <si>
    <t>　　　　　　寄付金
教育分野</t>
  </si>
  <si>
    <t>１　人　件　費</t>
  </si>
  <si>
    <t>３　管　理　費</t>
  </si>
  <si>
    <t>高等学校（全日制）</t>
  </si>
  <si>
    <t>注２</t>
  </si>
  <si>
    <t>注１</t>
  </si>
  <si>
    <t>教育施設に伴う収入総額は、一般会計と特別会計の合計額である。</t>
  </si>
  <si>
    <t>教育費(公費)の支出総額は、国庫補助金、県支出金、市町支出金、地方債及び公費に組み入れた寄 付金の合計額である。</t>
  </si>
  <si>
    <t>教育費（公費）の
支出総額　(ｂ)</t>
  </si>
  <si>
    <t>実 額 (ａ)</t>
  </si>
  <si>
    <t>（ａ）／（ｂ）</t>
  </si>
  <si>
    <t>比率</t>
  </si>
  <si>
    <t xml:space="preserve"> 区             分 </t>
  </si>
  <si>
    <t>市町支出金</t>
  </si>
  <si>
    <t>Ａ　消費的支出</t>
  </si>
  <si>
    <t>Ｂ　資本的支出</t>
  </si>
  <si>
    <t>Ｃ　債務償還費</t>
  </si>
  <si>
    <t>（合計を100に合わせるためにところどころ　「+0.1」　ｏｒ　「-0.1」している。</t>
  </si>
  <si>
    <t>⇐計算用</t>
  </si>
  <si>
    <t>令和３年度</t>
  </si>
  <si>
    <t>令和２会計年度</t>
  </si>
  <si>
    <t>令和３会計年度</t>
  </si>
  <si>
    <t>３年度</t>
  </si>
  <si>
    <t>３年度</t>
  </si>
  <si>
    <t/>
  </si>
  <si>
    <t>注　在学者数は学校基本調査（令和3年5月1日現在）、県人口は「住民基本台帳に基づく人口、人口動態及び世帯数（令和4年1月1日）」による。</t>
  </si>
  <si>
    <t>注１　社会教育費、教育行政費は県民１人当たりの額である。県人口は人口推計（令和4年1月1日）による。</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</si>
</sst>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
    <numFmt numFmtId="179" formatCode="\(#,##0\);[Red]\-#,##0.0"/>
    <numFmt numFmtId="180" formatCode="#,##0;&quot;△ &quot;#,##0"/>
    <numFmt numFmtId="181" formatCode="#,##0.0;&quot;△ &quot;#,##0.0"/>
    <numFmt numFmtId="182" formatCode="#,##0.0;[Red]\-#,##0.0"/>
    <numFmt numFmtId="183" formatCode="#,##0.0_);[Red]\(#,##0.0\)"/>
    <numFmt numFmtId="184" formatCode="[&lt;=999]000;[&lt;=9999]000\-00;000\-0000"/>
    <numFmt numFmtId="185" formatCode="0.0;&quot;△ &quot;0.0"/>
    <numFmt numFmtId="186" formatCode="0.E+00"/>
    <numFmt numFmtId="187" formatCode="0_ "/>
    <numFmt numFmtId="188" formatCode="&quot;¥&quot;#,##0_);[Red]\(&quot;¥&quot;#,##0\)"/>
    <numFmt numFmtId="189" formatCode="#,##0.0_ ;[Red]\-#,##0.0\ "/>
    <numFmt numFmtId="190" formatCode="0.0_ "/>
    <numFmt numFmtId="191" formatCode="0.0%"/>
    <numFmt numFmtId="192" formatCode="0.00_ "/>
    <numFmt numFmtId="193" formatCode="0.0000_ "/>
    <numFmt numFmtId="194" formatCode="0.00000_ "/>
    <numFmt numFmtId="195" formatCode="0.000_ "/>
    <numFmt numFmtId="196" formatCode="0_);[Red]\(0\)"/>
    <numFmt numFmtId="197" formatCode="0.0_);[Red]\(0.0\)"/>
    <numFmt numFmtId="198" formatCode="0.00_);[Red]\(0.00\)"/>
    <numFmt numFmtId="199" formatCode="0.000_);[Red]\(0.000\)"/>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0.00;&quot;△ &quot;#,##0.00"/>
    <numFmt numFmtId="206" formatCode="0.000;&quot;△ &quot;0.000"/>
    <numFmt numFmtId="207" formatCode="0.000"/>
    <numFmt numFmtId="208" formatCode="0;&quot;△ &quot;0"/>
    <numFmt numFmtId="209" formatCode="0.0000000"/>
    <numFmt numFmtId="210" formatCode="0;&quot;△ &quot;0.0"/>
    <numFmt numFmtId="211" formatCode="0.0_ ;[Red]\-0.0\ "/>
    <numFmt numFmtId="212" formatCode="0.000000000000000_ "/>
    <numFmt numFmtId="213" formatCode="#,##0.0_ "/>
  </numFmts>
  <fonts count="99">
    <font>
      <sz val="11"/>
      <name val="ＭＳ Ｐゴシック"/>
      <family val="3"/>
    </font>
    <font>
      <sz val="12"/>
      <name val="ＭＳ ゴシック"/>
      <family val="3"/>
    </font>
    <font>
      <sz val="6"/>
      <name val="ＭＳ Ｐゴシック"/>
      <family val="3"/>
    </font>
    <font>
      <sz val="12"/>
      <name val="ＭＳ 明朝"/>
      <family val="1"/>
    </font>
    <font>
      <sz val="10"/>
      <name val="ＭＳ 明朝"/>
      <family val="1"/>
    </font>
    <font>
      <sz val="11"/>
      <name val="ＭＳ 明朝"/>
      <family val="1"/>
    </font>
    <font>
      <b/>
      <sz val="11"/>
      <name val="ＭＳ 明朝"/>
      <family val="1"/>
    </font>
    <font>
      <sz val="6"/>
      <name val="ＭＳ Ｐ明朝"/>
      <family val="1"/>
    </font>
    <font>
      <sz val="9"/>
      <name val="ＭＳ 明朝"/>
      <family val="1"/>
    </font>
    <font>
      <sz val="14"/>
      <name val="ＭＳ ゴシック"/>
      <family val="3"/>
    </font>
    <font>
      <sz val="11"/>
      <name val="ＭＳ Ｐ明朝"/>
      <family val="1"/>
    </font>
    <font>
      <sz val="36"/>
      <name val="ＭＳ ゴシック"/>
      <family val="3"/>
    </font>
    <font>
      <sz val="14"/>
      <name val="ＭＳ 明朝"/>
      <family val="1"/>
    </font>
    <font>
      <sz val="14"/>
      <color indexed="12"/>
      <name val="ＭＳ ゴシック"/>
      <family val="3"/>
    </font>
    <font>
      <sz val="11"/>
      <color indexed="12"/>
      <name val="ＭＳ 明朝"/>
      <family val="1"/>
    </font>
    <font>
      <sz val="11"/>
      <name val="ＭＳ ゴシック"/>
      <family val="3"/>
    </font>
    <font>
      <u val="single"/>
      <sz val="8.25"/>
      <color indexed="12"/>
      <name val="ＭＳ Ｐゴシック"/>
      <family val="3"/>
    </font>
    <font>
      <u val="single"/>
      <sz val="8.25"/>
      <color indexed="36"/>
      <name val="ＭＳ Ｐゴシック"/>
      <family val="3"/>
    </font>
    <font>
      <sz val="14"/>
      <name val="ＭＳ Ｐゴシック"/>
      <family val="3"/>
    </font>
    <font>
      <sz val="6"/>
      <name val="ＭＳ 明朝"/>
      <family val="1"/>
    </font>
    <font>
      <sz val="11"/>
      <color indexed="10"/>
      <name val="ＭＳ 明朝"/>
      <family val="1"/>
    </font>
    <font>
      <sz val="9"/>
      <name val="ＭＳ Ｐ明朝"/>
      <family val="1"/>
    </font>
    <font>
      <sz val="10"/>
      <name val="ＭＳ Ｐ明朝"/>
      <family val="1"/>
    </font>
    <font>
      <sz val="8"/>
      <name val="ＭＳ Ｐ明朝"/>
      <family val="1"/>
    </font>
    <font>
      <sz val="9"/>
      <color indexed="63"/>
      <name val="ＭＳ Ｐゴシック"/>
      <family val="3"/>
    </font>
    <font>
      <sz val="10"/>
      <color indexed="8"/>
      <name val="ＭＳ Ｐゴシック"/>
      <family val="3"/>
    </font>
    <font>
      <sz val="6"/>
      <color indexed="53"/>
      <name val="ＭＳ Ｐ明朝"/>
      <family val="1"/>
    </font>
    <font>
      <sz val="8"/>
      <name val="ＭＳ 明朝"/>
      <family val="1"/>
    </font>
    <font>
      <b/>
      <sz val="11"/>
      <name val="ＭＳ Ｐゴシック"/>
      <family val="3"/>
    </font>
    <font>
      <b/>
      <sz val="10"/>
      <name val="ＭＳ Ｐ明朝"/>
      <family val="1"/>
    </font>
    <font>
      <sz val="10"/>
      <name val="ＭＳ Ｐゴシック"/>
      <family val="3"/>
    </font>
    <font>
      <b/>
      <sz val="10"/>
      <name val="ＭＳ 明朝"/>
      <family val="1"/>
    </font>
    <font>
      <sz val="10"/>
      <color indexed="8"/>
      <name val="ＭＳ Ｐ明朝"/>
      <family val="1"/>
    </font>
    <font>
      <sz val="8"/>
      <name val="ＭＳ Ｐゴシック"/>
      <family val="3"/>
    </font>
    <font>
      <b/>
      <sz val="9"/>
      <name val="ＭＳ Ｐ明朝"/>
      <family val="1"/>
    </font>
    <font>
      <sz val="9"/>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b/>
      <sz val="11"/>
      <color indexed="10"/>
      <name val="ＭＳ Ｐゴシック"/>
      <family val="3"/>
    </font>
    <font>
      <sz val="9"/>
      <color indexed="10"/>
      <name val="ＭＳ Ｐ明朝"/>
      <family val="1"/>
    </font>
    <font>
      <sz val="11"/>
      <color indexed="10"/>
      <name val="ＭＳ Ｐ明朝"/>
      <family val="1"/>
    </font>
    <font>
      <b/>
      <sz val="11"/>
      <color indexed="10"/>
      <name val="Calibri"/>
      <family val="2"/>
    </font>
    <font>
      <b/>
      <sz val="14"/>
      <color indexed="10"/>
      <name val="Calibri"/>
      <family val="2"/>
    </font>
    <font>
      <b/>
      <sz val="14"/>
      <color indexed="10"/>
      <name val="ＭＳ Ｐゴシック"/>
      <family val="3"/>
    </font>
    <font>
      <sz val="11"/>
      <color indexed="10"/>
      <name val="Calibri"/>
      <family val="2"/>
    </font>
    <font>
      <b/>
      <sz val="8"/>
      <color indexed="8"/>
      <name val="ＭＳ Ｐ明朝"/>
      <family val="1"/>
    </font>
    <font>
      <b/>
      <sz val="8"/>
      <color indexed="8"/>
      <name val="ＭＳ Ｐゴシック"/>
      <family val="3"/>
    </font>
    <font>
      <b/>
      <sz val="8"/>
      <color indexed="8"/>
      <name val="Calibri"/>
      <family val="2"/>
    </font>
    <font>
      <b/>
      <sz val="9"/>
      <color indexed="8"/>
      <name val="ＭＳ Ｐゴシック"/>
      <family val="3"/>
    </font>
    <font>
      <b/>
      <sz val="9"/>
      <color indexed="8"/>
      <name val="Calibri"/>
      <family val="2"/>
    </font>
    <font>
      <sz val="8"/>
      <color indexed="8"/>
      <name val="ＭＳ Ｐゴシック"/>
      <family val="3"/>
    </font>
    <font>
      <sz val="6"/>
      <color indexed="8"/>
      <name val="ＭＳ Ｐゴシック"/>
      <family val="3"/>
    </font>
    <font>
      <sz val="9"/>
      <color indexed="8"/>
      <name val="ＭＳ Ｐゴシック"/>
      <family val="3"/>
    </font>
    <font>
      <sz val="9"/>
      <color indexed="8"/>
      <name val="Calibri"/>
      <family val="2"/>
    </font>
    <font>
      <sz val="14"/>
      <color indexed="10"/>
      <name val="ＭＳ Ｐゴシック"/>
      <family val="3"/>
    </font>
    <font>
      <sz val="14"/>
      <color indexed="10"/>
      <name val="Calibri"/>
      <family val="2"/>
    </font>
    <font>
      <b/>
      <sz val="9"/>
      <color indexed="8"/>
      <name val="ＭＳ 明朝"/>
      <family val="1"/>
    </font>
    <font>
      <b/>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0"/>
      <name val="ＭＳ 明朝"/>
      <family val="1"/>
    </font>
    <font>
      <sz val="11"/>
      <name val="Calibri"/>
      <family val="3"/>
    </font>
    <font>
      <sz val="11"/>
      <color rgb="FFFF0000"/>
      <name val="ＭＳ Ｐゴシック"/>
      <family val="3"/>
    </font>
    <font>
      <b/>
      <sz val="11"/>
      <color rgb="FFFF0000"/>
      <name val="ＭＳ Ｐゴシック"/>
      <family val="3"/>
    </font>
    <font>
      <sz val="9"/>
      <color rgb="FFFF0000"/>
      <name val="ＭＳ Ｐ明朝"/>
      <family val="1"/>
    </font>
    <font>
      <sz val="11"/>
      <color rgb="FFFF0000"/>
      <name val="ＭＳ Ｐ明朝"/>
      <family val="1"/>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99"/>
        <bgColor indexed="64"/>
      </patternFill>
    </fill>
    <fill>
      <patternFill patternType="solid">
        <fgColor rgb="FFCCFFCC"/>
        <bgColor indexed="64"/>
      </patternFill>
    </fill>
    <fill>
      <patternFill patternType="solid">
        <fgColor theme="2"/>
        <bgColor indexed="64"/>
      </patternFill>
    </fill>
    <fill>
      <patternFill patternType="solid">
        <fgColor rgb="FFCCFFFF"/>
        <bgColor indexed="64"/>
      </patternFill>
    </fill>
    <fill>
      <patternFill patternType="solid">
        <fgColor rgb="FFFFFFFF"/>
        <bgColor indexed="64"/>
      </patternFill>
    </fill>
    <fill>
      <patternFill patternType="solid">
        <fgColor theme="2" tint="-0.09996999800205231"/>
        <bgColor indexed="64"/>
      </patternFill>
    </fill>
    <fill>
      <patternFill patternType="solid">
        <fgColor rgb="FFEAEAEA"/>
        <bgColor indexed="64"/>
      </patternFill>
    </fill>
    <fill>
      <patternFill patternType="solid">
        <fgColor rgb="FFDDDDDD"/>
        <bgColor indexed="64"/>
      </patternFill>
    </fill>
    <fill>
      <patternFill patternType="solid">
        <fgColor rgb="FF99FF99"/>
        <bgColor indexed="64"/>
      </patternFill>
    </fill>
    <fill>
      <patternFill patternType="solid">
        <fgColor rgb="FFFFCC66"/>
        <bgColor indexed="64"/>
      </patternFill>
    </fill>
    <fill>
      <patternFill patternType="solid">
        <fgColor rgb="FFFFFF66"/>
        <bgColor indexed="64"/>
      </patternFill>
    </fill>
    <fill>
      <patternFill patternType="solid">
        <fgColor rgb="FFFF9966"/>
        <bgColor indexed="64"/>
      </patternFill>
    </fill>
  </fills>
  <borders count="2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style="thin"/>
      <bottom style="thin"/>
    </border>
    <border>
      <left style="thin"/>
      <right style="thin"/>
      <top style="thin"/>
      <bottom style="double"/>
    </border>
    <border>
      <left style="thin"/>
      <right style="thin"/>
      <top style="thin"/>
      <bottom style="medium"/>
    </border>
    <border>
      <left style="thin"/>
      <right style="thin"/>
      <top style="medium"/>
      <bottom style="double"/>
    </border>
    <border>
      <left style="thin"/>
      <right style="thin"/>
      <top>
        <color indexed="63"/>
      </top>
      <bottom style="thin"/>
    </border>
    <border>
      <left style="thin"/>
      <right>
        <color indexed="63"/>
      </right>
      <top style="thin"/>
      <bottom style="thin"/>
    </border>
    <border>
      <left style="thin"/>
      <right style="medium"/>
      <top style="thin"/>
      <bottom style="thin"/>
    </border>
    <border>
      <left style="medium"/>
      <right style="medium"/>
      <top style="thin"/>
      <bottom style="thin"/>
    </border>
    <border>
      <left>
        <color indexed="63"/>
      </left>
      <right style="thin"/>
      <top style="medium"/>
      <bottom style="double"/>
    </border>
    <border>
      <left style="thin"/>
      <right style="medium"/>
      <top style="medium"/>
      <bottom style="double"/>
    </border>
    <border>
      <left style="medium"/>
      <right style="medium"/>
      <top style="medium"/>
      <bottom style="double"/>
    </border>
    <border>
      <left style="medium"/>
      <right style="medium"/>
      <top>
        <color indexed="63"/>
      </top>
      <bottom style="thin"/>
    </border>
    <border>
      <left style="medium"/>
      <right style="double"/>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medium"/>
      <right style="medium"/>
      <top style="thin"/>
      <bottom style="double"/>
    </border>
    <border>
      <left>
        <color indexed="63"/>
      </left>
      <right>
        <color indexed="63"/>
      </right>
      <top style="thin"/>
      <bottom style="thin"/>
    </border>
    <border>
      <left>
        <color indexed="63"/>
      </left>
      <right style="medium"/>
      <top style="thin"/>
      <bottom style="thin"/>
    </border>
    <border>
      <left style="thin"/>
      <right style="medium"/>
      <top style="thin"/>
      <bottom style="double"/>
    </border>
    <border>
      <left style="medium"/>
      <right style="medium"/>
      <top style="double"/>
      <bottom style="double"/>
    </border>
    <border>
      <left style="medium"/>
      <right style="medium"/>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style="double"/>
    </border>
    <border>
      <left>
        <color indexed="63"/>
      </left>
      <right style="thin"/>
      <top>
        <color indexed="63"/>
      </top>
      <bottom style="medium"/>
    </border>
    <border>
      <left style="thin"/>
      <right>
        <color indexed="63"/>
      </right>
      <top>
        <color indexed="63"/>
      </top>
      <bottom style="medium"/>
    </border>
    <border>
      <left style="thin"/>
      <right style="medium"/>
      <top>
        <color indexed="63"/>
      </top>
      <bottom style="thin"/>
    </border>
    <border>
      <left style="thin"/>
      <right style="thin"/>
      <top style="thin"/>
      <bottom>
        <color indexed="63"/>
      </bottom>
    </border>
    <border>
      <left style="thin"/>
      <right style="medium"/>
      <top style="thin"/>
      <bottom style="medium"/>
    </border>
    <border>
      <left style="thin"/>
      <right>
        <color indexed="63"/>
      </right>
      <top style="medium"/>
      <bottom>
        <color indexed="63"/>
      </bottom>
    </border>
    <border>
      <left style="hair"/>
      <right style="hair"/>
      <top style="thin"/>
      <bottom style="thin"/>
    </border>
    <border>
      <left style="hair"/>
      <right style="thin"/>
      <top style="thin"/>
      <bottom style="thin"/>
    </border>
    <border>
      <left style="thin"/>
      <right style="hair"/>
      <top style="thin"/>
      <bottom style="thin"/>
    </border>
    <border>
      <left>
        <color indexed="63"/>
      </left>
      <right style="thin"/>
      <top>
        <color indexed="63"/>
      </top>
      <bottom>
        <color indexed="63"/>
      </bottom>
    </border>
    <border>
      <left>
        <color indexed="63"/>
      </left>
      <right>
        <color indexed="63"/>
      </right>
      <top style="medium"/>
      <bottom>
        <color indexed="63"/>
      </bottom>
    </border>
    <border>
      <left style="hair"/>
      <right style="double"/>
      <top style="thin"/>
      <bottom style="thin"/>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double"/>
      <bottom style="hair"/>
    </border>
    <border>
      <left style="thin"/>
      <right style="medium"/>
      <top style="hair"/>
      <bottom style="hair"/>
    </border>
    <border>
      <left style="thin"/>
      <right style="medium"/>
      <top style="hair"/>
      <bottom style="thin"/>
    </border>
    <border>
      <left style="thin"/>
      <right style="medium"/>
      <top style="hair"/>
      <bottom style="double"/>
    </border>
    <border>
      <left style="thin"/>
      <right style="medium"/>
      <top>
        <color indexed="63"/>
      </top>
      <bottom style="hair"/>
    </border>
    <border>
      <left>
        <color indexed="63"/>
      </left>
      <right>
        <color indexed="63"/>
      </right>
      <top>
        <color indexed="63"/>
      </top>
      <bottom style="thin"/>
    </border>
    <border diagonalUp="1">
      <left style="thin"/>
      <right style="thin"/>
      <top style="thin"/>
      <bottom style="medium"/>
      <diagonal style="thin"/>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style="thin"/>
      <bottom>
        <color indexed="63"/>
      </bottom>
    </border>
    <border>
      <left style="hair"/>
      <right style="medium"/>
      <top style="thin"/>
      <bottom style="thin"/>
    </border>
    <border>
      <left>
        <color indexed="63"/>
      </left>
      <right style="medium"/>
      <top style="medium"/>
      <bottom style="double"/>
    </border>
    <border>
      <left>
        <color indexed="63"/>
      </left>
      <right style="medium"/>
      <top style="thin"/>
      <bottom style="double"/>
    </border>
    <border>
      <left style="hair"/>
      <right style="hair"/>
      <top>
        <color indexed="63"/>
      </top>
      <bottom>
        <color indexed="63"/>
      </bottom>
    </border>
    <border>
      <left style="hair"/>
      <right style="hair"/>
      <top>
        <color indexed="63"/>
      </top>
      <bottom style="medium"/>
    </border>
    <border>
      <left style="thin"/>
      <right style="medium"/>
      <top style="thin"/>
      <bottom>
        <color indexed="63"/>
      </bottom>
    </border>
    <border>
      <left>
        <color indexed="63"/>
      </left>
      <right>
        <color indexed="63"/>
      </right>
      <top style="medium"/>
      <bottom style="double"/>
    </border>
    <border>
      <left>
        <color indexed="63"/>
      </left>
      <right>
        <color indexed="63"/>
      </right>
      <top style="thin"/>
      <bottom style="double"/>
    </border>
    <border>
      <left>
        <color indexed="63"/>
      </left>
      <right>
        <color indexed="63"/>
      </right>
      <top style="thin"/>
      <bottom style="medium"/>
    </border>
    <border>
      <left style="medium"/>
      <right style="medium"/>
      <top style="double"/>
      <bottom style="thin"/>
    </border>
    <border>
      <left style="thin"/>
      <right style="thin"/>
      <top style="double"/>
      <bottom style="thin"/>
    </border>
    <border>
      <left style="thin"/>
      <right style="medium"/>
      <top style="double"/>
      <bottom style="thin"/>
    </border>
    <border>
      <left>
        <color indexed="63"/>
      </left>
      <right style="medium"/>
      <top>
        <color indexed="63"/>
      </top>
      <bottom style="thin"/>
    </border>
    <border>
      <left>
        <color indexed="63"/>
      </left>
      <right style="medium"/>
      <top style="thin"/>
      <bottom style="medium"/>
    </border>
    <border>
      <left style="medium"/>
      <right style="medium"/>
      <top style="thin"/>
      <bottom>
        <color indexed="63"/>
      </bottom>
    </border>
    <border diagonalUp="1">
      <left style="thin"/>
      <right style="thin"/>
      <top style="thin"/>
      <bottom style="double"/>
      <diagonal style="thin"/>
    </border>
    <border>
      <left style="thin"/>
      <right>
        <color indexed="63"/>
      </right>
      <top style="medium"/>
      <bottom style="double"/>
    </border>
    <border>
      <left style="thin"/>
      <right style="thin"/>
      <top style="hair"/>
      <bottom style="double"/>
    </border>
    <border>
      <left>
        <color indexed="63"/>
      </left>
      <right style="thin"/>
      <top style="thin"/>
      <bottom style="medium"/>
    </border>
    <border>
      <left style="medium"/>
      <right style="double"/>
      <top style="medium"/>
      <bottom style="double"/>
    </border>
    <border>
      <left style="medium"/>
      <right style="double"/>
      <top style="thin"/>
      <bottom style="thin"/>
    </border>
    <border>
      <left style="medium"/>
      <right style="double"/>
      <top style="thin"/>
      <bottom>
        <color indexed="63"/>
      </bottom>
    </border>
    <border>
      <left style="medium"/>
      <right style="double"/>
      <top style="double"/>
      <bottom style="thin"/>
    </border>
    <border>
      <left style="double"/>
      <right style="thin"/>
      <top style="double"/>
      <bottom style="thin"/>
    </border>
    <border>
      <left style="medium"/>
      <right>
        <color indexed="63"/>
      </right>
      <top style="thin"/>
      <bottom style="thin"/>
    </border>
    <border>
      <left style="double"/>
      <right style="thin"/>
      <top style="thin"/>
      <bottom style="thin"/>
    </border>
    <border>
      <left style="thin"/>
      <right style="medium"/>
      <top style="medium"/>
      <bottom style="thin"/>
    </border>
    <border>
      <left style="medium"/>
      <right style="thin"/>
      <top>
        <color indexed="63"/>
      </top>
      <bottom style="thin"/>
    </border>
    <border>
      <left style="medium"/>
      <right style="thin"/>
      <top style="thin"/>
      <bottom style="thin"/>
    </border>
    <border>
      <left style="medium"/>
      <right style="thin"/>
      <top style="thin"/>
      <bottom style="double"/>
    </border>
    <border>
      <left style="medium"/>
      <right style="thin"/>
      <top style="thin"/>
      <bottom style="medium"/>
    </border>
    <border>
      <left style="hair"/>
      <right style="medium"/>
      <top>
        <color indexed="63"/>
      </top>
      <bottom>
        <color indexed="63"/>
      </bottom>
    </border>
    <border>
      <left style="hair"/>
      <right style="double"/>
      <top>
        <color indexed="63"/>
      </top>
      <bottom>
        <color indexed="63"/>
      </bottom>
    </border>
    <border>
      <left>
        <color indexed="63"/>
      </left>
      <right style="medium"/>
      <top>
        <color indexed="63"/>
      </top>
      <bottom>
        <color indexed="63"/>
      </bottom>
    </border>
    <border>
      <left style="thin"/>
      <right style="hair"/>
      <top style="thin"/>
      <bottom>
        <color indexed="63"/>
      </bottom>
    </border>
    <border>
      <left>
        <color indexed="63"/>
      </left>
      <right style="hair"/>
      <top>
        <color indexed="63"/>
      </top>
      <bottom>
        <color indexed="63"/>
      </bottom>
    </border>
    <border>
      <left style="hair"/>
      <right style="thin"/>
      <top>
        <color indexed="63"/>
      </top>
      <bottom>
        <color indexed="63"/>
      </bottom>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thin"/>
      <right style="hair"/>
      <top>
        <color indexed="63"/>
      </top>
      <bottom style="medium"/>
    </border>
    <border>
      <left>
        <color indexed="63"/>
      </left>
      <right style="hair"/>
      <top>
        <color indexed="63"/>
      </top>
      <bottom style="medium"/>
    </border>
    <border>
      <left style="hair"/>
      <right style="thin"/>
      <top>
        <color indexed="63"/>
      </top>
      <bottom style="medium"/>
    </border>
    <border>
      <left style="hair"/>
      <right style="medium"/>
      <top>
        <color indexed="63"/>
      </top>
      <bottom style="medium"/>
    </border>
    <border>
      <left style="hair"/>
      <right style="double"/>
      <top>
        <color indexed="63"/>
      </top>
      <bottom style="medium"/>
    </border>
    <border>
      <left style="double"/>
      <right style="hair"/>
      <top style="thin"/>
      <bottom>
        <color indexed="63"/>
      </bottom>
    </border>
    <border>
      <left style="double"/>
      <right style="hair"/>
      <top>
        <color indexed="63"/>
      </top>
      <bottom>
        <color indexed="63"/>
      </bottom>
    </border>
    <border>
      <left style="double"/>
      <right style="hair"/>
      <top>
        <color indexed="63"/>
      </top>
      <bottom style="medium"/>
    </border>
    <border>
      <left style="thin"/>
      <right style="thin"/>
      <top style="medium"/>
      <bottom style="medium"/>
    </border>
    <border>
      <left style="thin"/>
      <right style="medium"/>
      <top style="medium"/>
      <bottom style="medium"/>
    </border>
    <border>
      <left>
        <color indexed="63"/>
      </left>
      <right style="thin"/>
      <top style="thin"/>
      <bottom style="double"/>
    </border>
    <border>
      <left>
        <color indexed="63"/>
      </left>
      <right style="thin"/>
      <top style="thin"/>
      <bottom>
        <color indexed="63"/>
      </bottom>
    </border>
    <border>
      <left style="medium"/>
      <right style="double"/>
      <top style="thin"/>
      <bottom style="double"/>
    </border>
    <border>
      <left style="thin"/>
      <right>
        <color indexed="63"/>
      </right>
      <top style="medium"/>
      <bottom style="thin"/>
    </border>
    <border>
      <left style="thin"/>
      <right>
        <color indexed="63"/>
      </right>
      <top style="thin"/>
      <bottom style="double"/>
    </border>
    <border>
      <left style="thin"/>
      <right>
        <color indexed="63"/>
      </right>
      <top style="thin"/>
      <bottom style="medium"/>
    </border>
    <border diagonalUp="1">
      <left style="thin"/>
      <right style="medium"/>
      <top style="medium"/>
      <bottom style="thin"/>
      <diagonal style="thin"/>
    </border>
    <border diagonalUp="1">
      <left style="thin"/>
      <right style="medium"/>
      <top style="thin"/>
      <bottom style="thin"/>
      <diagonal style="thin"/>
    </border>
    <border diagonalUp="1">
      <left style="thin"/>
      <right style="medium"/>
      <top style="double"/>
      <bottom style="thin"/>
      <diagonal style="thin"/>
    </border>
    <border diagonalUp="1">
      <left style="thin"/>
      <right style="medium"/>
      <top>
        <color indexed="63"/>
      </top>
      <bottom style="thin"/>
      <diagonal style="thin"/>
    </border>
    <border>
      <left style="thin"/>
      <right>
        <color indexed="63"/>
      </right>
      <top style="double"/>
      <bottom style="thin"/>
    </border>
    <border>
      <left>
        <color indexed="63"/>
      </left>
      <right style="medium"/>
      <top>
        <color indexed="63"/>
      </top>
      <bottom style="medium"/>
    </border>
    <border diagonalUp="1">
      <left style="thin"/>
      <right style="thin"/>
      <top style="thin"/>
      <bottom style="thin"/>
      <diagonal style="thin"/>
    </border>
    <border>
      <left style="thin"/>
      <right>
        <color indexed="63"/>
      </right>
      <top>
        <color indexed="63"/>
      </top>
      <bottom>
        <color indexed="63"/>
      </bottom>
    </border>
    <border>
      <left style="hair"/>
      <right style="thin"/>
      <top>
        <color indexed="63"/>
      </top>
      <bottom style="thin"/>
    </border>
    <border>
      <left style="hair"/>
      <right style="medium"/>
      <top style="thin"/>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thin"/>
      <top style="medium"/>
      <bottom style="thin"/>
    </border>
    <border>
      <left style="thin"/>
      <right style="thin"/>
      <top>
        <color indexed="63"/>
      </top>
      <bottom>
        <color indexed="63"/>
      </bottom>
    </border>
    <border>
      <left style="thin"/>
      <right style="medium"/>
      <top>
        <color indexed="63"/>
      </top>
      <bottom>
        <color indexed="63"/>
      </bottom>
    </border>
    <border diagonalUp="1">
      <left style="thin"/>
      <right style="medium"/>
      <top style="thin"/>
      <bottom style="medium"/>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top style="thin"/>
      <bottom/>
    </border>
    <border>
      <left>
        <color indexed="63"/>
      </left>
      <right>
        <color indexed="63"/>
      </right>
      <top>
        <color indexed="63"/>
      </top>
      <bottom style="thick"/>
    </border>
    <border>
      <left style="thin"/>
      <right style="thin"/>
      <top style="thin"/>
      <bottom style="thick"/>
    </border>
    <border>
      <left style="thin"/>
      <right>
        <color indexed="63"/>
      </right>
      <top style="thin"/>
      <bottom style="thick"/>
    </border>
    <border>
      <left>
        <color indexed="63"/>
      </left>
      <right style="thin"/>
      <top>
        <color indexed="63"/>
      </top>
      <bottom style="thick"/>
    </border>
    <border>
      <left>
        <color indexed="63"/>
      </left>
      <right style="thin"/>
      <top style="dashed"/>
      <bottom style="thin"/>
    </border>
    <border>
      <left style="thin"/>
      <right style="dashed"/>
      <top style="thin"/>
      <bottom>
        <color indexed="63"/>
      </bottom>
    </border>
    <border>
      <left style="thin"/>
      <right style="dashed"/>
      <top>
        <color indexed="63"/>
      </top>
      <bottom style="thin"/>
    </border>
    <border>
      <left style="thin"/>
      <right style="dashed"/>
      <top style="thin"/>
      <bottom style="thin"/>
    </border>
    <border>
      <left style="thin"/>
      <right style="dashed"/>
      <top style="thin"/>
      <bottom style="thick"/>
    </border>
    <border>
      <left>
        <color indexed="63"/>
      </left>
      <right style="thin"/>
      <top style="thin"/>
      <bottom style="thick"/>
    </border>
    <border>
      <left>
        <color indexed="63"/>
      </left>
      <right>
        <color indexed="63"/>
      </right>
      <top style="dashed"/>
      <bottom style="thin"/>
    </border>
    <border>
      <left>
        <color indexed="63"/>
      </left>
      <right>
        <color indexed="63"/>
      </right>
      <top style="thin"/>
      <bottom style="thick"/>
    </border>
    <border>
      <left style="thin"/>
      <right>
        <color indexed="63"/>
      </right>
      <top style="thick"/>
      <bottom>
        <color indexed="63"/>
      </bottom>
    </border>
    <border>
      <left style="thin"/>
      <right style="thin"/>
      <top style="thick"/>
      <bottom style="thin"/>
    </border>
    <border>
      <left style="hair"/>
      <right style="thin"/>
      <top style="hair"/>
      <bottom style="thin"/>
    </border>
    <border>
      <left style="thin"/>
      <right style="hair"/>
      <top>
        <color indexed="63"/>
      </top>
      <bottom style="thin"/>
    </border>
    <border>
      <left style="thin"/>
      <right style="hair"/>
      <top style="thin"/>
      <bottom style="thick"/>
    </border>
    <border diagonalUp="1">
      <left style="thin"/>
      <right>
        <color indexed="63"/>
      </right>
      <top style="thin"/>
      <bottom style="thin"/>
      <diagonal style="thin"/>
    </border>
    <border diagonalUp="1">
      <left style="thin"/>
      <right style="thin"/>
      <top style="thin"/>
      <bottom style="thick"/>
      <diagonal style="thin"/>
    </border>
    <border diagonalUp="1">
      <left style="thin"/>
      <right>
        <color indexed="63"/>
      </right>
      <top style="thin"/>
      <bottom style="thick"/>
      <diagonal style="thin"/>
    </border>
    <border>
      <left style="thin"/>
      <right style="thin"/>
      <top>
        <color indexed="63"/>
      </top>
      <bottom style="thick"/>
    </border>
    <border>
      <left>
        <color indexed="63"/>
      </left>
      <right>
        <color indexed="63"/>
      </right>
      <top style="thick"/>
      <bottom>
        <color indexed="63"/>
      </bottom>
    </border>
    <border>
      <left>
        <color indexed="63"/>
      </left>
      <right style="thin"/>
      <top style="thick"/>
      <bottom>
        <color indexed="63"/>
      </bottom>
    </border>
    <border>
      <left style="medium"/>
      <right style="double"/>
      <top style="double"/>
      <bottom style="double"/>
    </border>
    <border>
      <left>
        <color indexed="63"/>
      </left>
      <right style="thin"/>
      <top style="double"/>
      <bottom style="double"/>
    </border>
    <border>
      <left style="thin"/>
      <right>
        <color indexed="63"/>
      </right>
      <top style="double"/>
      <bottom style="double"/>
    </border>
    <border>
      <left style="thin"/>
      <right style="medium"/>
      <top style="double"/>
      <bottom style="double"/>
    </border>
    <border>
      <left>
        <color indexed="63"/>
      </left>
      <right style="medium"/>
      <top style="double"/>
      <bottom style="double"/>
    </border>
    <border>
      <left style="medium"/>
      <right style="double"/>
      <top>
        <color indexed="63"/>
      </top>
      <bottom style="medium"/>
    </border>
    <border>
      <left style="thin"/>
      <right style="medium"/>
      <top>
        <color indexed="63"/>
      </top>
      <bottom style="double"/>
    </border>
    <border>
      <left style="medium"/>
      <right style="thin"/>
      <top style="medium"/>
      <bottom style="double"/>
    </border>
    <border>
      <left style="medium"/>
      <right style="thin"/>
      <top style="double"/>
      <bottom style="thin"/>
    </border>
    <border>
      <left style="medium"/>
      <right style="thin"/>
      <top style="double"/>
      <bottom>
        <color indexed="63"/>
      </bottom>
    </border>
    <border>
      <left style="medium"/>
      <right>
        <color indexed="63"/>
      </right>
      <top style="medium"/>
      <bottom style="double"/>
    </border>
    <border>
      <left style="medium"/>
      <right>
        <color indexed="63"/>
      </right>
      <top style="double"/>
      <bottom style="double"/>
    </border>
    <border>
      <left>
        <color indexed="63"/>
      </left>
      <right>
        <color indexed="63"/>
      </right>
      <top style="double"/>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style="thin"/>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style="medium"/>
    </border>
    <border>
      <left style="medium"/>
      <right style="double"/>
      <top style="thin"/>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style="double"/>
      <bottom style="thin"/>
    </border>
    <border>
      <left style="medium"/>
      <right style="thin"/>
      <top style="medium"/>
      <bottom>
        <color indexed="63"/>
      </bottom>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color indexed="63"/>
      </left>
      <right style="medium"/>
      <top style="medium"/>
      <bottom style="thin"/>
    </border>
    <border diagonalDown="1">
      <left>
        <color indexed="63"/>
      </left>
      <right style="medium"/>
      <top style="medium"/>
      <bottom>
        <color indexed="63"/>
      </bottom>
      <diagonal style="thin"/>
    </border>
    <border diagonalDown="1">
      <left>
        <color indexed="63"/>
      </left>
      <right style="medium"/>
      <top>
        <color indexed="63"/>
      </top>
      <bottom style="medium"/>
      <diagonal style="thin"/>
    </border>
    <border>
      <left style="medium"/>
      <right style="thin"/>
      <top style="medium"/>
      <bottom style="thin"/>
    </border>
    <border>
      <left style="hair"/>
      <right style="hair"/>
      <top>
        <color indexed="63"/>
      </top>
      <bottom style="thin"/>
    </border>
    <border>
      <left style="medium"/>
      <right>
        <color indexed="63"/>
      </right>
      <top>
        <color indexed="63"/>
      </top>
      <bottom style="thin"/>
    </border>
    <border>
      <left style="hair"/>
      <right>
        <color indexed="63"/>
      </right>
      <top>
        <color indexed="63"/>
      </top>
      <bottom style="thin"/>
    </border>
    <border>
      <left style="hair"/>
      <right style="medium"/>
      <top>
        <color indexed="63"/>
      </top>
      <bottom style="thin"/>
    </border>
    <border>
      <left style="double"/>
      <right style="hair"/>
      <top>
        <color indexed="63"/>
      </top>
      <bottom style="thin"/>
    </border>
    <border>
      <left style="medium"/>
      <right style="thin"/>
      <top style="medium"/>
      <bottom style="mediu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color indexed="63"/>
      </left>
      <right>
        <color indexed="63"/>
      </right>
      <top style="thick"/>
      <bottom>
        <color indexed="63"/>
      </bottom>
      <diagonal style="thin"/>
    </border>
    <border diagonalDown="1">
      <left>
        <color indexed="63"/>
      </left>
      <right style="thin"/>
      <top style="thick"/>
      <bottom>
        <color indexed="63"/>
      </bottom>
      <diagonal style="thin"/>
    </border>
    <border diagonalDown="1">
      <left style="thin"/>
      <right style="thin"/>
      <top>
        <color indexed="63"/>
      </top>
      <bottom style="thin"/>
      <diagonal style="thin"/>
    </border>
    <border diagonalDown="1">
      <left>
        <color indexed="63"/>
      </left>
      <right style="thin"/>
      <top style="thin"/>
      <bottom style="thin"/>
      <diagonal style="thin"/>
    </border>
    <border diagonalDown="1">
      <left style="thin"/>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17" fillId="0" borderId="0" applyNumberFormat="0" applyFill="0" applyBorder="0" applyAlignment="0" applyProtection="0"/>
    <xf numFmtId="0" fontId="91" fillId="32" borderId="0" applyNumberFormat="0" applyBorder="0" applyAlignment="0" applyProtection="0"/>
  </cellStyleXfs>
  <cellXfs count="1499">
    <xf numFmtId="0" fontId="0" fillId="0" borderId="0" xfId="0" applyAlignment="1">
      <alignment/>
    </xf>
    <xf numFmtId="0" fontId="1"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5" fillId="0" borderId="0" xfId="0" applyFont="1" applyAlignment="1">
      <alignment vertical="center"/>
    </xf>
    <xf numFmtId="0" fontId="5" fillId="0" borderId="14" xfId="0" applyFont="1" applyBorder="1" applyAlignment="1">
      <alignment horizontal="distributed" vertical="center" shrinkToFit="1"/>
    </xf>
    <xf numFmtId="0" fontId="8" fillId="0" borderId="14" xfId="0" applyFont="1" applyBorder="1" applyAlignment="1">
      <alignment horizontal="distributed" vertical="center" shrinkToFit="1"/>
    </xf>
    <xf numFmtId="0" fontId="5" fillId="0" borderId="14" xfId="0" applyFont="1" applyBorder="1" applyAlignment="1">
      <alignment horizontal="distributed" vertical="center"/>
    </xf>
    <xf numFmtId="0" fontId="5" fillId="0" borderId="14" xfId="0" applyFont="1" applyBorder="1" applyAlignment="1">
      <alignment vertical="center" shrinkToFit="1"/>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33" borderId="17" xfId="0" applyFont="1" applyFill="1" applyBorder="1" applyAlignment="1">
      <alignment horizontal="center" vertical="center"/>
    </xf>
    <xf numFmtId="178" fontId="5" fillId="34" borderId="18" xfId="0" applyNumberFormat="1" applyFont="1" applyFill="1" applyBorder="1" applyAlignment="1">
      <alignment vertical="center"/>
    </xf>
    <xf numFmtId="178" fontId="5" fillId="0" borderId="14" xfId="0" applyNumberFormat="1" applyFont="1" applyBorder="1" applyAlignment="1">
      <alignment vertical="center"/>
    </xf>
    <xf numFmtId="178" fontId="5" fillId="0" borderId="19" xfId="0" applyNumberFormat="1" applyFont="1" applyBorder="1" applyAlignment="1">
      <alignment vertical="center"/>
    </xf>
    <xf numFmtId="178" fontId="5" fillId="0" borderId="20" xfId="0" applyNumberFormat="1" applyFont="1" applyBorder="1" applyAlignment="1">
      <alignment vertical="center"/>
    </xf>
    <xf numFmtId="0" fontId="8" fillId="0" borderId="14" xfId="0" applyFont="1" applyBorder="1" applyAlignment="1">
      <alignment horizontal="distributed" vertical="center"/>
    </xf>
    <xf numFmtId="178" fontId="5" fillId="34" borderId="14" xfId="0" applyNumberFormat="1" applyFont="1" applyFill="1" applyBorder="1" applyAlignment="1">
      <alignment vertical="center"/>
    </xf>
    <xf numFmtId="178" fontId="5" fillId="34" borderId="16" xfId="0" applyNumberFormat="1" applyFont="1" applyFill="1" applyBorder="1" applyAlignment="1">
      <alignment vertical="center"/>
    </xf>
    <xf numFmtId="0" fontId="5" fillId="0" borderId="0" xfId="0" applyFont="1" applyAlignment="1">
      <alignment horizontal="right" vertical="center"/>
    </xf>
    <xf numFmtId="178" fontId="5" fillId="0" borderId="21" xfId="0" applyNumberFormat="1" applyFont="1" applyBorder="1" applyAlignment="1">
      <alignment vertical="center"/>
    </xf>
    <xf numFmtId="178" fontId="5" fillId="0" borderId="22" xfId="0" applyNumberFormat="1" applyFont="1" applyBorder="1" applyAlignment="1">
      <alignment vertical="center"/>
    </xf>
    <xf numFmtId="178" fontId="5" fillId="0" borderId="23" xfId="0" applyNumberFormat="1" applyFont="1" applyBorder="1" applyAlignment="1">
      <alignment vertical="center"/>
    </xf>
    <xf numFmtId="178" fontId="5" fillId="0" borderId="24" xfId="0" applyNumberFormat="1" applyFont="1" applyBorder="1" applyAlignment="1">
      <alignment vertical="center"/>
    </xf>
    <xf numFmtId="178" fontId="5" fillId="35" borderId="25" xfId="0" applyNumberFormat="1" applyFont="1" applyFill="1" applyBorder="1" applyAlignment="1">
      <alignment vertical="center"/>
    </xf>
    <xf numFmtId="178" fontId="5" fillId="35" borderId="26" xfId="0" applyNumberFormat="1" applyFont="1" applyFill="1" applyBorder="1" applyAlignment="1">
      <alignment vertical="center"/>
    </xf>
    <xf numFmtId="178" fontId="5" fillId="35" borderId="27" xfId="0" applyNumberFormat="1" applyFont="1" applyFill="1" applyBorder="1" applyAlignment="1">
      <alignment vertical="center"/>
    </xf>
    <xf numFmtId="178" fontId="5" fillId="35" borderId="18" xfId="0" applyNumberFormat="1" applyFont="1" applyFill="1" applyBorder="1" applyAlignment="1">
      <alignment vertical="center"/>
    </xf>
    <xf numFmtId="178" fontId="5" fillId="35" borderId="28" xfId="0" applyNumberFormat="1" applyFont="1" applyFill="1" applyBorder="1" applyAlignment="1">
      <alignment vertical="center"/>
    </xf>
    <xf numFmtId="178" fontId="5" fillId="0" borderId="29" xfId="0" applyNumberFormat="1" applyFont="1" applyBorder="1" applyAlignment="1">
      <alignment vertical="center"/>
    </xf>
    <xf numFmtId="178" fontId="5" fillId="35" borderId="21" xfId="0" applyNumberFormat="1" applyFont="1" applyFill="1" applyBorder="1" applyAlignment="1">
      <alignment vertical="center"/>
    </xf>
    <xf numFmtId="178" fontId="5" fillId="0" borderId="30" xfId="0" applyNumberFormat="1" applyFont="1" applyBorder="1" applyAlignment="1">
      <alignment vertical="center"/>
    </xf>
    <xf numFmtId="178" fontId="5" fillId="0" borderId="15" xfId="0" applyNumberFormat="1" applyFont="1" applyBorder="1" applyAlignment="1">
      <alignment vertical="center"/>
    </xf>
    <xf numFmtId="178" fontId="5" fillId="0" borderId="31" xfId="0" applyNumberFormat="1" applyFont="1" applyBorder="1" applyAlignment="1">
      <alignment vertical="center"/>
    </xf>
    <xf numFmtId="178" fontId="5" fillId="35" borderId="32" xfId="0" applyNumberFormat="1" applyFont="1" applyFill="1" applyBorder="1" applyAlignment="1">
      <alignment vertical="center"/>
    </xf>
    <xf numFmtId="178" fontId="5" fillId="0" borderId="33" xfId="0" applyNumberFormat="1" applyFont="1" applyBorder="1" applyAlignment="1">
      <alignment vertical="center"/>
    </xf>
    <xf numFmtId="178" fontId="5" fillId="35" borderId="34" xfId="0" applyNumberFormat="1" applyFont="1" applyFill="1" applyBorder="1" applyAlignment="1">
      <alignment vertical="center"/>
    </xf>
    <xf numFmtId="178" fontId="5" fillId="35" borderId="35" xfId="0" applyNumberFormat="1" applyFont="1" applyFill="1" applyBorder="1" applyAlignment="1">
      <alignment vertical="center"/>
    </xf>
    <xf numFmtId="178" fontId="5" fillId="0" borderId="36" xfId="0" applyNumberFormat="1" applyFont="1" applyBorder="1" applyAlignment="1">
      <alignment vertical="center"/>
    </xf>
    <xf numFmtId="178" fontId="5" fillId="0" borderId="37" xfId="0" applyNumberFormat="1" applyFont="1" applyBorder="1" applyAlignment="1">
      <alignment vertical="center"/>
    </xf>
    <xf numFmtId="178" fontId="5" fillId="0" borderId="14" xfId="0" applyNumberFormat="1" applyFont="1" applyFill="1" applyBorder="1" applyAlignment="1">
      <alignment vertical="center"/>
    </xf>
    <xf numFmtId="178" fontId="5" fillId="36" borderId="14" xfId="0" applyNumberFormat="1" applyFont="1" applyFill="1" applyBorder="1" applyAlignment="1">
      <alignment vertical="center"/>
    </xf>
    <xf numFmtId="178" fontId="5" fillId="33" borderId="16" xfId="0" applyNumberFormat="1" applyFont="1" applyFill="1" applyBorder="1" applyAlignment="1">
      <alignment vertical="center"/>
    </xf>
    <xf numFmtId="0" fontId="5" fillId="33" borderId="36" xfId="0" applyFont="1" applyFill="1" applyBorder="1" applyAlignment="1">
      <alignment horizontal="center" vertical="center"/>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178" fontId="5" fillId="0" borderId="18" xfId="0" applyNumberFormat="1" applyFont="1" applyBorder="1" applyAlignment="1">
      <alignment vertical="center"/>
    </xf>
    <xf numFmtId="0" fontId="5" fillId="0" borderId="14" xfId="0" applyFont="1" applyBorder="1" applyAlignment="1">
      <alignment vertical="center"/>
    </xf>
    <xf numFmtId="178" fontId="5" fillId="0" borderId="38" xfId="0" applyNumberFormat="1" applyFont="1" applyBorder="1" applyAlignment="1">
      <alignment vertical="center"/>
    </xf>
    <xf numFmtId="0" fontId="0" fillId="0" borderId="0" xfId="0" applyAlignment="1">
      <alignment horizontal="right" vertical="center"/>
    </xf>
    <xf numFmtId="0" fontId="5" fillId="33" borderId="39" xfId="0" applyFont="1" applyFill="1" applyBorder="1" applyAlignment="1">
      <alignment horizontal="center" vertical="center"/>
    </xf>
    <xf numFmtId="0" fontId="5" fillId="33" borderId="40" xfId="0" applyFont="1" applyFill="1" applyBorder="1" applyAlignment="1">
      <alignment horizontal="center" vertical="center" wrapText="1"/>
    </xf>
    <xf numFmtId="0" fontId="8" fillId="0" borderId="14" xfId="0" applyFont="1" applyBorder="1" applyAlignment="1">
      <alignment vertical="center" wrapText="1"/>
    </xf>
    <xf numFmtId="0" fontId="5" fillId="0" borderId="18" xfId="0" applyFont="1" applyBorder="1" applyAlignment="1">
      <alignment vertical="center"/>
    </xf>
    <xf numFmtId="178" fontId="5" fillId="0" borderId="41" xfId="0" applyNumberFormat="1" applyFont="1" applyBorder="1" applyAlignment="1">
      <alignment vertical="center"/>
    </xf>
    <xf numFmtId="0" fontId="5" fillId="0" borderId="42" xfId="0" applyFont="1" applyBorder="1" applyAlignment="1">
      <alignment vertical="center"/>
    </xf>
    <xf numFmtId="178" fontId="5" fillId="0" borderId="16" xfId="0" applyNumberFormat="1" applyFont="1" applyBorder="1" applyAlignment="1">
      <alignment vertical="center"/>
    </xf>
    <xf numFmtId="178" fontId="5" fillId="0" borderId="43" xfId="0" applyNumberFormat="1" applyFont="1" applyBorder="1" applyAlignment="1">
      <alignment vertical="center"/>
    </xf>
    <xf numFmtId="0" fontId="5" fillId="0" borderId="0" xfId="0" applyFont="1" applyAlignment="1">
      <alignment/>
    </xf>
    <xf numFmtId="0" fontId="11" fillId="0" borderId="0" xfId="0" applyFont="1" applyAlignment="1">
      <alignment horizontal="left"/>
    </xf>
    <xf numFmtId="0" fontId="11" fillId="0" borderId="0" xfId="0" applyFont="1" applyAlignment="1">
      <alignment/>
    </xf>
    <xf numFmtId="0" fontId="12" fillId="0" borderId="0" xfId="0" applyFont="1" applyAlignment="1">
      <alignment/>
    </xf>
    <xf numFmtId="0" fontId="12" fillId="37" borderId="44" xfId="0" applyFont="1" applyFill="1" applyBorder="1" applyAlignment="1">
      <alignment horizontal="center" vertical="center" wrapText="1"/>
    </xf>
    <xf numFmtId="0" fontId="12" fillId="37" borderId="28" xfId="0" applyFont="1" applyFill="1" applyBorder="1" applyAlignment="1">
      <alignment horizontal="center" vertical="center" wrapText="1"/>
    </xf>
    <xf numFmtId="0" fontId="12" fillId="0" borderId="45" xfId="0" applyFont="1" applyBorder="1" applyAlignment="1">
      <alignment horizontal="center" vertical="center" wrapText="1"/>
    </xf>
    <xf numFmtId="0" fontId="12" fillId="0" borderId="46" xfId="0" applyFont="1" applyBorder="1" applyAlignment="1">
      <alignment horizontal="center" vertical="center"/>
    </xf>
    <xf numFmtId="0" fontId="3" fillId="0" borderId="45" xfId="0" applyFont="1" applyBorder="1" applyAlignment="1">
      <alignment horizontal="center" vertical="center" wrapText="1"/>
    </xf>
    <xf numFmtId="0" fontId="12" fillId="0" borderId="47" xfId="0" applyFont="1" applyBorder="1" applyAlignment="1">
      <alignment horizontal="center" vertical="center" wrapText="1"/>
    </xf>
    <xf numFmtId="0" fontId="0" fillId="0" borderId="0" xfId="0" applyBorder="1" applyAlignment="1">
      <alignment/>
    </xf>
    <xf numFmtId="0" fontId="0" fillId="0" borderId="48" xfId="0" applyBorder="1" applyAlignment="1">
      <alignment horizontal="right"/>
    </xf>
    <xf numFmtId="0" fontId="0" fillId="0" borderId="0" xfId="0" applyAlignment="1">
      <alignment vertical="center"/>
    </xf>
    <xf numFmtId="0" fontId="12" fillId="33" borderId="48" xfId="0" applyFont="1" applyFill="1" applyBorder="1" applyAlignment="1">
      <alignment vertical="center"/>
    </xf>
    <xf numFmtId="0" fontId="12" fillId="0" borderId="48" xfId="0" applyFont="1" applyBorder="1" applyAlignment="1">
      <alignment vertical="center"/>
    </xf>
    <xf numFmtId="0" fontId="3" fillId="0" borderId="48" xfId="0" applyFont="1" applyBorder="1" applyAlignment="1">
      <alignment vertical="center"/>
    </xf>
    <xf numFmtId="0" fontId="0" fillId="0" borderId="39" xfId="0" applyBorder="1" applyAlignment="1">
      <alignment vertical="center"/>
    </xf>
    <xf numFmtId="0" fontId="0" fillId="0" borderId="49" xfId="0" applyBorder="1" applyAlignment="1">
      <alignment/>
    </xf>
    <xf numFmtId="0" fontId="12" fillId="38" borderId="44" xfId="0" applyFont="1" applyFill="1" applyBorder="1" applyAlignment="1">
      <alignment horizontal="centerContinuous" vertical="center" wrapText="1"/>
    </xf>
    <xf numFmtId="0" fontId="12" fillId="38" borderId="49" xfId="0" applyFont="1" applyFill="1" applyBorder="1" applyAlignment="1">
      <alignment horizontal="centerContinuous" vertical="center" wrapText="1"/>
    </xf>
    <xf numFmtId="0" fontId="12" fillId="0" borderId="50" xfId="0" applyFont="1" applyBorder="1" applyAlignment="1">
      <alignment horizontal="center" vertical="center"/>
    </xf>
    <xf numFmtId="0" fontId="0" fillId="0" borderId="51" xfId="0" applyBorder="1" applyAlignment="1">
      <alignment vertical="center"/>
    </xf>
    <xf numFmtId="0" fontId="12" fillId="37" borderId="52" xfId="0" applyFont="1" applyFill="1" applyBorder="1" applyAlignment="1">
      <alignment horizontal="center" vertical="center" wrapText="1"/>
    </xf>
    <xf numFmtId="0" fontId="12" fillId="36" borderId="44" xfId="0" applyFont="1" applyFill="1" applyBorder="1" applyAlignment="1">
      <alignment horizontal="centerContinuous" vertical="center" wrapText="1"/>
    </xf>
    <xf numFmtId="0" fontId="12" fillId="36" borderId="49" xfId="0" applyFont="1" applyFill="1" applyBorder="1" applyAlignment="1">
      <alignment horizontal="centerContinuous" vertical="center" wrapText="1"/>
    </xf>
    <xf numFmtId="0" fontId="12" fillId="36" borderId="53" xfId="0" applyFont="1" applyFill="1" applyBorder="1" applyAlignment="1">
      <alignment horizontal="centerContinuous" vertical="center" wrapText="1"/>
    </xf>
    <xf numFmtId="0" fontId="12" fillId="37" borderId="27" xfId="0" applyFont="1" applyFill="1" applyBorder="1" applyAlignment="1">
      <alignment horizontal="center" vertical="center" wrapText="1"/>
    </xf>
    <xf numFmtId="0" fontId="12" fillId="0" borderId="54" xfId="0" applyFont="1" applyBorder="1" applyAlignment="1">
      <alignment horizontal="centerContinuous" vertical="center" wrapText="1"/>
    </xf>
    <xf numFmtId="0" fontId="12" fillId="0" borderId="55" xfId="0" applyFont="1" applyBorder="1" applyAlignment="1">
      <alignment horizontal="centerContinuous" vertical="center" wrapText="1"/>
    </xf>
    <xf numFmtId="0" fontId="12" fillId="38" borderId="53" xfId="0" applyFont="1" applyFill="1" applyBorder="1" applyAlignment="1">
      <alignment horizontal="centerContinuous" vertical="center" wrapText="1"/>
    </xf>
    <xf numFmtId="0" fontId="12" fillId="39" borderId="56" xfId="0" applyFont="1" applyFill="1" applyBorder="1" applyAlignment="1">
      <alignment horizontal="centerContinuous" vertical="center"/>
    </xf>
    <xf numFmtId="0" fontId="12" fillId="39" borderId="49" xfId="0" applyFont="1" applyFill="1" applyBorder="1" applyAlignment="1">
      <alignment horizontal="centerContinuous" vertical="center"/>
    </xf>
    <xf numFmtId="178" fontId="5" fillId="0" borderId="0" xfId="0" applyNumberFormat="1" applyFont="1" applyAlignment="1">
      <alignment vertical="center"/>
    </xf>
    <xf numFmtId="178" fontId="15" fillId="0" borderId="0" xfId="0" applyNumberFormat="1" applyFont="1" applyAlignment="1">
      <alignment vertical="center"/>
    </xf>
    <xf numFmtId="178" fontId="8" fillId="33" borderId="57" xfId="0" applyNumberFormat="1" applyFont="1" applyFill="1" applyBorder="1" applyAlignment="1">
      <alignment horizontal="distributed" vertical="center" shrinkToFit="1"/>
    </xf>
    <xf numFmtId="178" fontId="8" fillId="36" borderId="57" xfId="0" applyNumberFormat="1" applyFont="1" applyFill="1" applyBorder="1" applyAlignment="1">
      <alignment horizontal="distributed" vertical="center" shrinkToFit="1"/>
    </xf>
    <xf numFmtId="178" fontId="8" fillId="34" borderId="58" xfId="0" applyNumberFormat="1" applyFont="1" applyFill="1" applyBorder="1" applyAlignment="1">
      <alignment horizontal="distributed" vertical="center" shrinkToFit="1"/>
    </xf>
    <xf numFmtId="178" fontId="5" fillId="0" borderId="0" xfId="0" applyNumberFormat="1" applyFont="1" applyAlignment="1">
      <alignment vertical="center" shrinkToFit="1"/>
    </xf>
    <xf numFmtId="0" fontId="5" fillId="0" borderId="0" xfId="0" applyFont="1" applyFill="1" applyAlignment="1">
      <alignment vertical="center"/>
    </xf>
    <xf numFmtId="0" fontId="5" fillId="0" borderId="0" xfId="0" applyFont="1" applyFill="1" applyAlignment="1">
      <alignment/>
    </xf>
    <xf numFmtId="0" fontId="5" fillId="0" borderId="59" xfId="0" applyFont="1" applyFill="1" applyBorder="1" applyAlignment="1">
      <alignment vertical="center"/>
    </xf>
    <xf numFmtId="0" fontId="5" fillId="35" borderId="14" xfId="0" applyFont="1" applyFill="1" applyBorder="1" applyAlignment="1">
      <alignment vertical="center"/>
    </xf>
    <xf numFmtId="0" fontId="5" fillId="0" borderId="14" xfId="0" applyFont="1" applyFill="1" applyBorder="1" applyAlignment="1">
      <alignment vertical="center"/>
    </xf>
    <xf numFmtId="0" fontId="5" fillId="0" borderId="18" xfId="0" applyFont="1" applyFill="1" applyBorder="1" applyAlignment="1">
      <alignment vertical="center"/>
    </xf>
    <xf numFmtId="0" fontId="4" fillId="0" borderId="14" xfId="0" applyFont="1" applyFill="1" applyBorder="1" applyAlignment="1">
      <alignment vertical="center" wrapText="1"/>
    </xf>
    <xf numFmtId="0" fontId="5" fillId="0" borderId="16" xfId="0" applyFont="1" applyFill="1" applyBorder="1" applyAlignment="1">
      <alignment vertical="center"/>
    </xf>
    <xf numFmtId="0" fontId="3" fillId="33" borderId="23" xfId="0" applyFont="1" applyFill="1" applyBorder="1" applyAlignment="1">
      <alignment horizontal="center" vertical="center"/>
    </xf>
    <xf numFmtId="0" fontId="4" fillId="0" borderId="60" xfId="0" applyFont="1" applyBorder="1" applyAlignment="1">
      <alignment vertical="center" wrapText="1"/>
    </xf>
    <xf numFmtId="0" fontId="4" fillId="0" borderId="61" xfId="0" applyFont="1" applyBorder="1" applyAlignment="1">
      <alignment vertical="center" wrapText="1"/>
    </xf>
    <xf numFmtId="0" fontId="4" fillId="0" borderId="62" xfId="0" applyFont="1" applyBorder="1" applyAlignment="1">
      <alignment vertical="center" wrapText="1"/>
    </xf>
    <xf numFmtId="0" fontId="4" fillId="0" borderId="63" xfId="0" applyFont="1" applyBorder="1" applyAlignment="1">
      <alignment vertical="center" wrapText="1"/>
    </xf>
    <xf numFmtId="0" fontId="4" fillId="0" borderId="64" xfId="0" applyFont="1" applyBorder="1" applyAlignment="1">
      <alignment vertical="center" wrapText="1"/>
    </xf>
    <xf numFmtId="0" fontId="4" fillId="0" borderId="20" xfId="0" applyFont="1" applyBorder="1" applyAlignment="1">
      <alignment vertical="center" wrapText="1"/>
    </xf>
    <xf numFmtId="0" fontId="4" fillId="0" borderId="43" xfId="0" applyFont="1" applyBorder="1" applyAlignment="1">
      <alignment vertical="center" wrapText="1"/>
    </xf>
    <xf numFmtId="176" fontId="5" fillId="34" borderId="14" xfId="0" applyNumberFormat="1" applyFont="1" applyFill="1" applyBorder="1" applyAlignment="1">
      <alignment horizontal="right" vertical="center"/>
    </xf>
    <xf numFmtId="176" fontId="5" fillId="0" borderId="14" xfId="0" applyNumberFormat="1" applyFont="1" applyBorder="1" applyAlignment="1">
      <alignment horizontal="right" vertical="center"/>
    </xf>
    <xf numFmtId="176" fontId="5" fillId="36" borderId="14" xfId="0" applyNumberFormat="1" applyFont="1" applyFill="1" applyBorder="1" applyAlignment="1">
      <alignment horizontal="right" vertical="center"/>
    </xf>
    <xf numFmtId="176" fontId="5" fillId="33" borderId="15" xfId="0" applyNumberFormat="1" applyFont="1" applyFill="1" applyBorder="1" applyAlignment="1">
      <alignment horizontal="right" vertical="center"/>
    </xf>
    <xf numFmtId="178" fontId="5" fillId="37" borderId="65" xfId="0" applyNumberFormat="1" applyFont="1" applyFill="1" applyBorder="1" applyAlignment="1">
      <alignment horizontal="right" vertical="center"/>
    </xf>
    <xf numFmtId="178" fontId="5" fillId="0" borderId="0" xfId="0" applyNumberFormat="1" applyFont="1" applyBorder="1" applyAlignment="1">
      <alignment vertical="center"/>
    </xf>
    <xf numFmtId="178" fontId="5" fillId="0" borderId="66" xfId="0" applyNumberFormat="1" applyFont="1" applyBorder="1" applyAlignment="1">
      <alignment vertical="center"/>
    </xf>
    <xf numFmtId="178" fontId="5" fillId="0" borderId="20" xfId="0" applyNumberFormat="1" applyFont="1" applyFill="1" applyBorder="1" applyAlignment="1">
      <alignment vertical="center"/>
    </xf>
    <xf numFmtId="178" fontId="5" fillId="0" borderId="15" xfId="0" applyNumberFormat="1" applyFont="1" applyFill="1" applyBorder="1" applyAlignment="1">
      <alignment vertical="center"/>
    </xf>
    <xf numFmtId="0" fontId="0" fillId="0" borderId="67" xfId="0" applyBorder="1" applyAlignment="1">
      <alignment/>
    </xf>
    <xf numFmtId="0" fontId="0" fillId="0" borderId="67" xfId="0" applyBorder="1" applyAlignment="1">
      <alignment vertical="center"/>
    </xf>
    <xf numFmtId="0" fontId="12" fillId="33" borderId="0" xfId="0" applyFont="1" applyFill="1" applyBorder="1" applyAlignment="1">
      <alignment vertical="center"/>
    </xf>
    <xf numFmtId="0" fontId="12" fillId="0" borderId="0" xfId="0" applyFont="1" applyBorder="1" applyAlignment="1">
      <alignment vertical="center"/>
    </xf>
    <xf numFmtId="0" fontId="0" fillId="0" borderId="0" xfId="0" applyBorder="1" applyAlignment="1">
      <alignment vertical="center"/>
    </xf>
    <xf numFmtId="0" fontId="12" fillId="33" borderId="67" xfId="0" applyFont="1" applyFill="1" applyBorder="1" applyAlignment="1">
      <alignment vertical="center"/>
    </xf>
    <xf numFmtId="0" fontId="12" fillId="0" borderId="67" xfId="0" applyFont="1" applyBorder="1" applyAlignment="1">
      <alignment vertical="center"/>
    </xf>
    <xf numFmtId="0" fontId="0" fillId="0" borderId="68" xfId="0" applyBorder="1" applyAlignment="1">
      <alignment/>
    </xf>
    <xf numFmtId="0" fontId="0" fillId="0" borderId="69" xfId="0" applyBorder="1" applyAlignment="1">
      <alignment vertical="center"/>
    </xf>
    <xf numFmtId="0" fontId="12" fillId="36" borderId="70" xfId="0" applyFont="1" applyFill="1" applyBorder="1" applyAlignment="1">
      <alignment horizontal="centerContinuous" vertical="center" wrapText="1"/>
    </xf>
    <xf numFmtId="0" fontId="12" fillId="0" borderId="71" xfId="0" applyFont="1" applyBorder="1" applyAlignment="1">
      <alignment horizontal="centerContinuous" vertical="center" wrapText="1"/>
    </xf>
    <xf numFmtId="0" fontId="12" fillId="0" borderId="72" xfId="0" applyFont="1" applyBorder="1" applyAlignment="1">
      <alignment horizontal="center" vertical="center"/>
    </xf>
    <xf numFmtId="0" fontId="12" fillId="39" borderId="70" xfId="0" applyFont="1" applyFill="1" applyBorder="1" applyAlignment="1">
      <alignment horizontal="centerContinuous" vertical="center"/>
    </xf>
    <xf numFmtId="178" fontId="5" fillId="35" borderId="29" xfId="0" applyNumberFormat="1" applyFont="1" applyFill="1" applyBorder="1" applyAlignment="1">
      <alignment vertical="center"/>
    </xf>
    <xf numFmtId="0" fontId="5" fillId="0" borderId="20" xfId="0" applyFont="1" applyBorder="1" applyAlignment="1">
      <alignment vertical="center" shrinkToFit="1"/>
    </xf>
    <xf numFmtId="0" fontId="6" fillId="33" borderId="73" xfId="0" applyFont="1" applyFill="1" applyBorder="1" applyAlignment="1">
      <alignment horizontal="center" vertical="center"/>
    </xf>
    <xf numFmtId="176" fontId="6" fillId="0" borderId="32" xfId="0" applyNumberFormat="1" applyFont="1" applyBorder="1" applyAlignment="1">
      <alignment horizontal="right" vertical="center"/>
    </xf>
    <xf numFmtId="176" fontId="6" fillId="33" borderId="74" xfId="0" applyNumberFormat="1" applyFont="1" applyFill="1" applyBorder="1" applyAlignment="1">
      <alignment horizontal="right" vertical="center"/>
    </xf>
    <xf numFmtId="178" fontId="5" fillId="34" borderId="14" xfId="0" applyNumberFormat="1" applyFont="1" applyFill="1" applyBorder="1" applyAlignment="1">
      <alignment horizontal="right" vertical="center"/>
    </xf>
    <xf numFmtId="178" fontId="5" fillId="0" borderId="14" xfId="0" applyNumberFormat="1" applyFont="1" applyBorder="1" applyAlignment="1">
      <alignment horizontal="right" vertical="center"/>
    </xf>
    <xf numFmtId="178" fontId="5" fillId="36" borderId="14" xfId="0" applyNumberFormat="1" applyFont="1" applyFill="1" applyBorder="1" applyAlignment="1">
      <alignment horizontal="right" vertical="center"/>
    </xf>
    <xf numFmtId="178" fontId="5" fillId="33" borderId="14" xfId="0" applyNumberFormat="1" applyFont="1" applyFill="1" applyBorder="1" applyAlignment="1">
      <alignment horizontal="right" vertical="center"/>
    </xf>
    <xf numFmtId="178" fontId="5" fillId="0" borderId="15" xfId="0" applyNumberFormat="1" applyFont="1" applyBorder="1" applyAlignment="1">
      <alignment horizontal="right" vertical="center"/>
    </xf>
    <xf numFmtId="180" fontId="13" fillId="0" borderId="75" xfId="0" applyNumberFormat="1" applyFont="1" applyFill="1" applyBorder="1" applyAlignment="1">
      <alignment vertical="center" shrinkToFit="1"/>
    </xf>
    <xf numFmtId="38" fontId="14" fillId="0" borderId="76" xfId="0" applyNumberFormat="1" applyFont="1" applyBorder="1" applyAlignment="1">
      <alignment vertical="center" shrinkToFit="1"/>
    </xf>
    <xf numFmtId="0" fontId="5" fillId="0" borderId="20" xfId="0" applyFont="1" applyBorder="1" applyAlignment="1">
      <alignment vertical="center"/>
    </xf>
    <xf numFmtId="0" fontId="8" fillId="0" borderId="20" xfId="0" applyFont="1" applyBorder="1" applyAlignment="1">
      <alignment vertical="center" wrapText="1"/>
    </xf>
    <xf numFmtId="0" fontId="5" fillId="0" borderId="41" xfId="0" applyFont="1" applyBorder="1" applyAlignment="1">
      <alignment vertical="center"/>
    </xf>
    <xf numFmtId="0" fontId="5" fillId="0" borderId="77" xfId="0" applyFont="1" applyBorder="1" applyAlignment="1">
      <alignment vertical="center"/>
    </xf>
    <xf numFmtId="176" fontId="6" fillId="36" borderId="32" xfId="0" applyNumberFormat="1" applyFont="1" applyFill="1" applyBorder="1" applyAlignment="1">
      <alignment horizontal="right" vertical="center"/>
    </xf>
    <xf numFmtId="0" fontId="5" fillId="33" borderId="78" xfId="0" applyFont="1" applyFill="1" applyBorder="1" applyAlignment="1">
      <alignment horizontal="center" vertical="center"/>
    </xf>
    <xf numFmtId="176" fontId="5" fillId="37" borderId="18" xfId="0" applyNumberFormat="1" applyFont="1" applyFill="1" applyBorder="1" applyAlignment="1">
      <alignment horizontal="right" vertical="center"/>
    </xf>
    <xf numFmtId="178" fontId="5" fillId="34" borderId="31" xfId="0" applyNumberFormat="1" applyFont="1" applyFill="1" applyBorder="1" applyAlignment="1">
      <alignment horizontal="right" vertical="center"/>
    </xf>
    <xf numFmtId="178" fontId="5" fillId="0" borderId="31" xfId="0" applyNumberFormat="1" applyFont="1" applyBorder="1" applyAlignment="1">
      <alignment horizontal="right" vertical="center"/>
    </xf>
    <xf numFmtId="178" fontId="5" fillId="36" borderId="31" xfId="0" applyNumberFormat="1" applyFont="1" applyFill="1" applyBorder="1" applyAlignment="1">
      <alignment horizontal="right" vertical="center"/>
    </xf>
    <xf numFmtId="178" fontId="5" fillId="33" borderId="31" xfId="0" applyNumberFormat="1" applyFont="1" applyFill="1" applyBorder="1" applyAlignment="1">
      <alignment horizontal="right" vertical="center"/>
    </xf>
    <xf numFmtId="178" fontId="5" fillId="0" borderId="79" xfId="0" applyNumberFormat="1" applyFont="1" applyBorder="1" applyAlignment="1">
      <alignment horizontal="right" vertical="center"/>
    </xf>
    <xf numFmtId="178" fontId="5" fillId="34" borderId="65" xfId="0" applyNumberFormat="1" applyFont="1" applyFill="1" applyBorder="1" applyAlignment="1">
      <alignment vertical="center"/>
    </xf>
    <xf numFmtId="178" fontId="5" fillId="34" borderId="31" xfId="0" applyNumberFormat="1" applyFont="1" applyFill="1" applyBorder="1" applyAlignment="1">
      <alignment vertical="center"/>
    </xf>
    <xf numFmtId="178" fontId="5" fillId="34" borderId="80" xfId="0" applyNumberFormat="1" applyFont="1" applyFill="1" applyBorder="1" applyAlignment="1">
      <alignment vertical="center"/>
    </xf>
    <xf numFmtId="178" fontId="5" fillId="35" borderId="81" xfId="0" applyNumberFormat="1" applyFont="1" applyFill="1" applyBorder="1" applyAlignment="1">
      <alignment vertical="center"/>
    </xf>
    <xf numFmtId="178" fontId="5" fillId="35" borderId="82" xfId="0" applyNumberFormat="1" applyFont="1" applyFill="1" applyBorder="1" applyAlignment="1">
      <alignment vertical="center"/>
    </xf>
    <xf numFmtId="178" fontId="5" fillId="35" borderId="83" xfId="0" applyNumberFormat="1" applyFont="1" applyFill="1" applyBorder="1" applyAlignment="1">
      <alignment vertical="center"/>
    </xf>
    <xf numFmtId="178" fontId="5" fillId="35" borderId="14" xfId="0" applyNumberFormat="1" applyFont="1" applyFill="1" applyBorder="1" applyAlignment="1">
      <alignment vertical="center"/>
    </xf>
    <xf numFmtId="176" fontId="5" fillId="0" borderId="0" xfId="0" applyNumberFormat="1" applyFont="1" applyFill="1" applyAlignment="1">
      <alignment/>
    </xf>
    <xf numFmtId="178" fontId="5" fillId="34" borderId="82" xfId="0" applyNumberFormat="1" applyFont="1" applyFill="1" applyBorder="1" applyAlignment="1">
      <alignment vertical="center"/>
    </xf>
    <xf numFmtId="178" fontId="6" fillId="34" borderId="84" xfId="0" applyNumberFormat="1" applyFont="1" applyFill="1" applyBorder="1" applyAlignment="1">
      <alignment vertical="center"/>
    </xf>
    <xf numFmtId="178" fontId="6" fillId="34" borderId="85" xfId="0" applyNumberFormat="1" applyFont="1" applyFill="1" applyBorder="1" applyAlignment="1">
      <alignment vertical="center"/>
    </xf>
    <xf numFmtId="178" fontId="5" fillId="0" borderId="86" xfId="0" applyNumberFormat="1" applyFont="1" applyBorder="1" applyAlignment="1">
      <alignment vertical="center"/>
    </xf>
    <xf numFmtId="178" fontId="5" fillId="36" borderId="32" xfId="0" applyNumberFormat="1" applyFont="1" applyFill="1" applyBorder="1" applyAlignment="1">
      <alignment vertical="center"/>
    </xf>
    <xf numFmtId="0" fontId="3" fillId="0" borderId="38" xfId="0" applyFont="1" applyBorder="1" applyAlignment="1">
      <alignment horizontal="center" vertical="center" textRotation="255"/>
    </xf>
    <xf numFmtId="178" fontId="5" fillId="0" borderId="87" xfId="0" applyNumberFormat="1" applyFont="1" applyBorder="1" applyAlignment="1">
      <alignment vertical="center"/>
    </xf>
    <xf numFmtId="178" fontId="5" fillId="37" borderId="82" xfId="0" applyNumberFormat="1" applyFont="1" applyFill="1" applyBorder="1" applyAlignment="1">
      <alignment horizontal="right" vertical="center"/>
    </xf>
    <xf numFmtId="178" fontId="5" fillId="34" borderId="32" xfId="0" applyNumberFormat="1" applyFont="1" applyFill="1" applyBorder="1" applyAlignment="1">
      <alignment vertical="center"/>
    </xf>
    <xf numFmtId="0" fontId="5" fillId="33" borderId="88" xfId="0" applyFont="1" applyFill="1" applyBorder="1" applyAlignment="1">
      <alignment horizontal="center" vertical="center"/>
    </xf>
    <xf numFmtId="0" fontId="4" fillId="0" borderId="89" xfId="0" applyFont="1" applyBorder="1" applyAlignment="1">
      <alignment horizontal="left" vertical="center" wrapText="1" indent="1" shrinkToFit="1"/>
    </xf>
    <xf numFmtId="0" fontId="5" fillId="0" borderId="13" xfId="0" applyFont="1" applyBorder="1" applyAlignment="1">
      <alignment horizontal="left" vertical="center" wrapText="1" indent="1"/>
    </xf>
    <xf numFmtId="0" fontId="5" fillId="33" borderId="36"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18" fillId="0" borderId="0" xfId="0" applyFont="1" applyAlignment="1">
      <alignment/>
    </xf>
    <xf numFmtId="176" fontId="6" fillId="37" borderId="84" xfId="0" applyNumberFormat="1" applyFont="1" applyFill="1" applyBorder="1" applyAlignment="1">
      <alignment horizontal="right" vertical="center"/>
    </xf>
    <xf numFmtId="176" fontId="6" fillId="34" borderId="32" xfId="0" applyNumberFormat="1" applyFont="1" applyFill="1" applyBorder="1" applyAlignment="1">
      <alignment horizontal="right" vertical="center"/>
    </xf>
    <xf numFmtId="176" fontId="5" fillId="37" borderId="82" xfId="0" applyNumberFormat="1" applyFont="1" applyFill="1" applyBorder="1" applyAlignment="1">
      <alignment horizontal="right" vertical="center"/>
    </xf>
    <xf numFmtId="177" fontId="5" fillId="37" borderId="18" xfId="49" applyNumberFormat="1" applyFont="1" applyFill="1" applyBorder="1" applyAlignment="1">
      <alignment vertical="center"/>
    </xf>
    <xf numFmtId="177" fontId="5" fillId="37" borderId="27" xfId="49" applyNumberFormat="1" applyFont="1" applyFill="1" applyBorder="1" applyAlignment="1">
      <alignment vertical="center"/>
    </xf>
    <xf numFmtId="177" fontId="5" fillId="37" borderId="82" xfId="49" applyNumberFormat="1" applyFont="1" applyFill="1" applyBorder="1" applyAlignment="1">
      <alignment vertical="center"/>
    </xf>
    <xf numFmtId="177" fontId="6" fillId="37" borderId="83" xfId="49" applyNumberFormat="1" applyFont="1" applyFill="1" applyBorder="1" applyAlignment="1">
      <alignment vertical="center"/>
    </xf>
    <xf numFmtId="0" fontId="20" fillId="0" borderId="0" xfId="0" applyFont="1" applyAlignment="1">
      <alignment vertical="center"/>
    </xf>
    <xf numFmtId="177" fontId="6" fillId="37" borderId="20" xfId="49" applyNumberFormat="1" applyFont="1" applyFill="1" applyBorder="1" applyAlignment="1">
      <alignment vertical="center"/>
    </xf>
    <xf numFmtId="177" fontId="6" fillId="37" borderId="84" xfId="49" applyNumberFormat="1" applyFont="1" applyFill="1" applyBorder="1" applyAlignment="1">
      <alignment vertical="center"/>
    </xf>
    <xf numFmtId="177" fontId="5" fillId="37" borderId="16" xfId="49" applyNumberFormat="1" applyFont="1" applyFill="1" applyBorder="1" applyAlignment="1">
      <alignment vertical="center"/>
    </xf>
    <xf numFmtId="177" fontId="5" fillId="37" borderId="90" xfId="49" applyNumberFormat="1" applyFont="1" applyFill="1" applyBorder="1" applyAlignment="1">
      <alignment vertical="center"/>
    </xf>
    <xf numFmtId="177" fontId="6" fillId="37" borderId="43" xfId="49" applyNumberFormat="1" applyFont="1" applyFill="1" applyBorder="1" applyAlignment="1">
      <alignment vertical="center"/>
    </xf>
    <xf numFmtId="178" fontId="5" fillId="37" borderId="18" xfId="0" applyNumberFormat="1" applyFont="1" applyFill="1" applyBorder="1" applyAlignment="1">
      <alignment horizontal="right" vertical="center"/>
    </xf>
    <xf numFmtId="178" fontId="6" fillId="37" borderId="84" xfId="0" applyNumberFormat="1" applyFont="1" applyFill="1" applyBorder="1" applyAlignment="1">
      <alignment horizontal="right" vertical="center"/>
    </xf>
    <xf numFmtId="178" fontId="6" fillId="34" borderId="32" xfId="0" applyNumberFormat="1" applyFont="1" applyFill="1" applyBorder="1" applyAlignment="1">
      <alignment horizontal="right" vertical="center"/>
    </xf>
    <xf numFmtId="178" fontId="6" fillId="0" borderId="32" xfId="0" applyNumberFormat="1" applyFont="1" applyBorder="1" applyAlignment="1">
      <alignment horizontal="right" vertical="center"/>
    </xf>
    <xf numFmtId="178" fontId="6" fillId="36" borderId="32" xfId="0" applyNumberFormat="1" applyFont="1" applyFill="1" applyBorder="1" applyAlignment="1">
      <alignment horizontal="right" vertical="center"/>
    </xf>
    <xf numFmtId="178" fontId="6" fillId="33" borderId="32" xfId="0" applyNumberFormat="1" applyFont="1" applyFill="1" applyBorder="1" applyAlignment="1">
      <alignment horizontal="right" vertical="center"/>
    </xf>
    <xf numFmtId="178" fontId="6" fillId="0" borderId="74" xfId="0" applyNumberFormat="1" applyFont="1" applyBorder="1" applyAlignment="1">
      <alignment horizontal="right" vertical="center"/>
    </xf>
    <xf numFmtId="177" fontId="5" fillId="37" borderId="28" xfId="49" applyNumberFormat="1" applyFont="1" applyFill="1" applyBorder="1" applyAlignment="1">
      <alignment vertical="center"/>
    </xf>
    <xf numFmtId="177" fontId="6" fillId="37" borderId="41" xfId="49" applyNumberFormat="1" applyFont="1" applyFill="1" applyBorder="1" applyAlignment="1">
      <alignment vertical="center"/>
    </xf>
    <xf numFmtId="177" fontId="5" fillId="37" borderId="36" xfId="49" applyNumberFormat="1" applyFont="1" applyFill="1" applyBorder="1" applyAlignment="1">
      <alignment vertical="center"/>
    </xf>
    <xf numFmtId="178" fontId="5" fillId="0" borderId="91" xfId="0" applyNumberFormat="1" applyFont="1" applyBorder="1" applyAlignment="1">
      <alignment vertical="center"/>
    </xf>
    <xf numFmtId="178" fontId="5" fillId="0" borderId="92" xfId="0" applyNumberFormat="1" applyFont="1" applyBorder="1" applyAlignment="1">
      <alignment vertical="center"/>
    </xf>
    <xf numFmtId="178" fontId="5" fillId="0" borderId="93" xfId="0" applyNumberFormat="1" applyFont="1" applyBorder="1" applyAlignment="1">
      <alignment vertical="center"/>
    </xf>
    <xf numFmtId="178" fontId="5" fillId="35" borderId="93" xfId="0" applyNumberFormat="1" applyFont="1" applyFill="1" applyBorder="1" applyAlignment="1">
      <alignment vertical="center"/>
    </xf>
    <xf numFmtId="178" fontId="5" fillId="35" borderId="19" xfId="0" applyNumberFormat="1" applyFont="1" applyFill="1" applyBorder="1" applyAlignment="1">
      <alignment vertical="center"/>
    </xf>
    <xf numFmtId="178" fontId="5" fillId="35" borderId="86" xfId="0" applyNumberFormat="1" applyFont="1" applyFill="1" applyBorder="1" applyAlignment="1">
      <alignment vertical="center"/>
    </xf>
    <xf numFmtId="178" fontId="5" fillId="35" borderId="94" xfId="0" applyNumberFormat="1" applyFont="1" applyFill="1" applyBorder="1" applyAlignment="1">
      <alignment vertical="center"/>
    </xf>
    <xf numFmtId="178" fontId="5" fillId="35" borderId="95" xfId="0" applyNumberFormat="1" applyFont="1" applyFill="1" applyBorder="1" applyAlignment="1">
      <alignment vertical="center"/>
    </xf>
    <xf numFmtId="178" fontId="5" fillId="0" borderId="96" xfId="0" applyNumberFormat="1" applyFont="1" applyBorder="1" applyAlignment="1">
      <alignment vertical="center"/>
    </xf>
    <xf numFmtId="178" fontId="5" fillId="0" borderId="97" xfId="0" applyNumberFormat="1" applyFont="1" applyBorder="1" applyAlignment="1">
      <alignment vertical="center"/>
    </xf>
    <xf numFmtId="178" fontId="5" fillId="0" borderId="29" xfId="0" applyNumberFormat="1" applyFont="1" applyFill="1" applyBorder="1" applyAlignment="1">
      <alignment vertical="center"/>
    </xf>
    <xf numFmtId="178" fontId="5" fillId="0" borderId="34" xfId="0" applyNumberFormat="1" applyFont="1" applyBorder="1" applyAlignment="1">
      <alignment vertical="center"/>
    </xf>
    <xf numFmtId="178" fontId="5" fillId="37" borderId="14" xfId="0" applyNumberFormat="1" applyFont="1" applyFill="1" applyBorder="1" applyAlignment="1">
      <alignment vertical="center"/>
    </xf>
    <xf numFmtId="178" fontId="5" fillId="37" borderId="19" xfId="0" applyNumberFormat="1" applyFont="1" applyFill="1" applyBorder="1" applyAlignment="1">
      <alignment vertical="center"/>
    </xf>
    <xf numFmtId="178" fontId="5" fillId="37" borderId="20" xfId="0" applyNumberFormat="1" applyFont="1" applyFill="1" applyBorder="1" applyAlignment="1">
      <alignment vertical="center"/>
    </xf>
    <xf numFmtId="178" fontId="5" fillId="34" borderId="19" xfId="0" applyNumberFormat="1" applyFont="1" applyFill="1" applyBorder="1" applyAlignment="1">
      <alignment vertical="center"/>
    </xf>
    <xf numFmtId="178" fontId="5" fillId="34" borderId="20" xfId="0" applyNumberFormat="1" applyFont="1" applyFill="1" applyBorder="1" applyAlignment="1">
      <alignment vertical="center"/>
    </xf>
    <xf numFmtId="178" fontId="5" fillId="36" borderId="20" xfId="0" applyNumberFormat="1" applyFont="1" applyFill="1" applyBorder="1" applyAlignment="1">
      <alignment vertical="center"/>
    </xf>
    <xf numFmtId="178" fontId="5" fillId="34" borderId="29" xfId="0" applyNumberFormat="1" applyFont="1" applyFill="1" applyBorder="1" applyAlignment="1">
      <alignment vertical="center"/>
    </xf>
    <xf numFmtId="178" fontId="5" fillId="36" borderId="29" xfId="0" applyNumberFormat="1" applyFont="1" applyFill="1" applyBorder="1" applyAlignment="1">
      <alignment vertical="center"/>
    </xf>
    <xf numFmtId="178" fontId="5" fillId="33" borderId="90" xfId="0" applyNumberFormat="1" applyFont="1" applyFill="1" applyBorder="1" applyAlignment="1">
      <alignment vertical="center"/>
    </xf>
    <xf numFmtId="178" fontId="5" fillId="0" borderId="82" xfId="0" applyNumberFormat="1" applyFont="1" applyBorder="1" applyAlignment="1">
      <alignment vertical="center"/>
    </xf>
    <xf numFmtId="178" fontId="5" fillId="0" borderId="83" xfId="0" applyNumberFormat="1" applyFont="1" applyBorder="1" applyAlignment="1">
      <alignment vertical="center"/>
    </xf>
    <xf numFmtId="178" fontId="5" fillId="0" borderId="59" xfId="0" applyNumberFormat="1" applyFont="1" applyBorder="1" applyAlignment="1">
      <alignment vertical="center"/>
    </xf>
    <xf numFmtId="178" fontId="5" fillId="0" borderId="98" xfId="0" applyNumberFormat="1" applyFont="1" applyBorder="1" applyAlignment="1">
      <alignment vertical="center"/>
    </xf>
    <xf numFmtId="178" fontId="5" fillId="0" borderId="59" xfId="0" applyNumberFormat="1" applyFont="1" applyFill="1" applyBorder="1" applyAlignment="1">
      <alignment vertical="center"/>
    </xf>
    <xf numFmtId="178" fontId="5" fillId="0" borderId="98" xfId="0" applyNumberFormat="1" applyFont="1" applyFill="1" applyBorder="1" applyAlignment="1">
      <alignment vertical="center"/>
    </xf>
    <xf numFmtId="178" fontId="5" fillId="0" borderId="82" xfId="0" applyNumberFormat="1" applyFont="1" applyFill="1" applyBorder="1" applyAlignment="1">
      <alignment vertical="center"/>
    </xf>
    <xf numFmtId="178" fontId="5" fillId="0" borderId="83" xfId="0" applyNumberFormat="1" applyFont="1" applyFill="1" applyBorder="1" applyAlignment="1">
      <alignment vertical="center"/>
    </xf>
    <xf numFmtId="178" fontId="5" fillId="0" borderId="36" xfId="0" applyNumberFormat="1" applyFont="1" applyFill="1" applyBorder="1" applyAlignment="1">
      <alignment vertical="center"/>
    </xf>
    <xf numFmtId="178" fontId="5" fillId="0" borderId="37" xfId="0" applyNumberFormat="1" applyFont="1" applyFill="1" applyBorder="1" applyAlignment="1">
      <alignment vertical="center"/>
    </xf>
    <xf numFmtId="178" fontId="5" fillId="0" borderId="99" xfId="0" applyNumberFormat="1" applyFont="1" applyBorder="1" applyAlignment="1">
      <alignment vertical="center"/>
    </xf>
    <xf numFmtId="178" fontId="5" fillId="0" borderId="100" xfId="0" applyNumberFormat="1" applyFont="1" applyBorder="1" applyAlignment="1">
      <alignment vertical="center"/>
    </xf>
    <xf numFmtId="178" fontId="5" fillId="0" borderId="101" xfId="0" applyNumberFormat="1" applyFont="1" applyBorder="1" applyAlignment="1">
      <alignment vertical="center"/>
    </xf>
    <xf numFmtId="178" fontId="5" fillId="0" borderId="102" xfId="0" applyNumberFormat="1" applyFont="1" applyBorder="1" applyAlignment="1">
      <alignment vertical="center"/>
    </xf>
    <xf numFmtId="180" fontId="13" fillId="33" borderId="75" xfId="0" applyNumberFormat="1" applyFont="1" applyFill="1" applyBorder="1" applyAlignment="1">
      <alignment vertical="center" shrinkToFit="1"/>
    </xf>
    <xf numFmtId="181" fontId="13" fillId="0" borderId="103" xfId="0" applyNumberFormat="1" applyFont="1" applyFill="1" applyBorder="1" applyAlignment="1">
      <alignment horizontal="right" vertical="center" shrinkToFit="1"/>
    </xf>
    <xf numFmtId="38" fontId="13" fillId="0" borderId="75" xfId="0" applyNumberFormat="1" applyFont="1" applyBorder="1" applyAlignment="1">
      <alignment vertical="center" shrinkToFit="1"/>
    </xf>
    <xf numFmtId="0" fontId="12" fillId="0" borderId="54" xfId="0" applyFont="1" applyFill="1" applyBorder="1" applyAlignment="1">
      <alignment horizontal="centerContinuous" vertical="center" wrapText="1"/>
    </xf>
    <xf numFmtId="0" fontId="12" fillId="0" borderId="55" xfId="0" applyFont="1" applyFill="1" applyBorder="1" applyAlignment="1">
      <alignment horizontal="centerContinuous" vertical="center" wrapText="1"/>
    </xf>
    <xf numFmtId="176" fontId="5" fillId="0" borderId="0" xfId="0" applyNumberFormat="1" applyFont="1" applyFill="1" applyAlignment="1">
      <alignment vertical="center"/>
    </xf>
    <xf numFmtId="0" fontId="12" fillId="0" borderId="0" xfId="0" applyFont="1" applyBorder="1" applyAlignment="1">
      <alignment/>
    </xf>
    <xf numFmtId="38" fontId="5" fillId="0" borderId="51" xfId="49" applyFont="1" applyFill="1" applyBorder="1" applyAlignment="1">
      <alignment horizontal="right" vertical="center"/>
    </xf>
    <xf numFmtId="181" fontId="13" fillId="33" borderId="104" xfId="0" applyNumberFormat="1" applyFont="1" applyFill="1" applyBorder="1" applyAlignment="1">
      <alignment horizontal="right" vertical="center" shrinkToFit="1"/>
    </xf>
    <xf numFmtId="187" fontId="5" fillId="37" borderId="18" xfId="49" applyNumberFormat="1" applyFont="1" applyFill="1" applyBorder="1" applyAlignment="1">
      <alignment vertical="center"/>
    </xf>
    <xf numFmtId="3" fontId="5" fillId="0" borderId="0" xfId="0" applyNumberFormat="1" applyFont="1" applyAlignment="1">
      <alignment vertical="center"/>
    </xf>
    <xf numFmtId="178" fontId="6" fillId="34" borderId="105" xfId="0" applyNumberFormat="1" applyFont="1" applyFill="1" applyBorder="1" applyAlignment="1">
      <alignment vertical="center"/>
    </xf>
    <xf numFmtId="178" fontId="6" fillId="0" borderId="20" xfId="0" applyNumberFormat="1" applyFont="1" applyBorder="1" applyAlignment="1">
      <alignment vertical="center"/>
    </xf>
    <xf numFmtId="178" fontId="5" fillId="0" borderId="14" xfId="0" applyNumberFormat="1" applyFont="1" applyBorder="1" applyAlignment="1">
      <alignment vertical="center" shrinkToFit="1"/>
    </xf>
    <xf numFmtId="0" fontId="5" fillId="0" borderId="0" xfId="0" applyNumberFormat="1" applyFont="1" applyAlignment="1">
      <alignment vertical="center"/>
    </xf>
    <xf numFmtId="38" fontId="0" fillId="0" borderId="0" xfId="0" applyNumberFormat="1" applyAlignment="1">
      <alignment/>
    </xf>
    <xf numFmtId="178" fontId="0" fillId="0" borderId="0" xfId="0" applyNumberFormat="1" applyAlignment="1">
      <alignment/>
    </xf>
    <xf numFmtId="179" fontId="0" fillId="0" borderId="106" xfId="0" applyNumberFormat="1" applyBorder="1" applyAlignment="1">
      <alignment horizontal="center" vertical="center" shrinkToFit="1"/>
    </xf>
    <xf numFmtId="179" fontId="0" fillId="0" borderId="107" xfId="0" applyNumberFormat="1" applyBorder="1" applyAlignment="1">
      <alignment horizontal="center" vertical="center" shrinkToFit="1"/>
    </xf>
    <xf numFmtId="179" fontId="0" fillId="0" borderId="75" xfId="0" applyNumberFormat="1" applyBorder="1" applyAlignment="1">
      <alignment horizontal="center" vertical="center" shrinkToFit="1"/>
    </xf>
    <xf numFmtId="179" fontId="0" fillId="0" borderId="108" xfId="0" applyNumberFormat="1" applyBorder="1" applyAlignment="1">
      <alignment horizontal="center" vertical="center" shrinkToFit="1"/>
    </xf>
    <xf numFmtId="179" fontId="0" fillId="0" borderId="109" xfId="0" applyNumberFormat="1" applyBorder="1" applyAlignment="1">
      <alignment horizontal="center" vertical="center" shrinkToFit="1"/>
    </xf>
    <xf numFmtId="179" fontId="0" fillId="0" borderId="110" xfId="0" applyNumberFormat="1" applyBorder="1" applyAlignment="1">
      <alignment horizontal="center" vertical="center" shrinkToFit="1"/>
    </xf>
    <xf numFmtId="179" fontId="0" fillId="0" borderId="111" xfId="0" applyNumberFormat="1" applyBorder="1" applyAlignment="1">
      <alignment horizontal="center" vertical="center" shrinkToFit="1"/>
    </xf>
    <xf numFmtId="179" fontId="0" fillId="0" borderId="103" xfId="0" applyNumberFormat="1" applyBorder="1" applyAlignment="1">
      <alignment horizontal="center" vertical="center" shrinkToFit="1"/>
    </xf>
    <xf numFmtId="38" fontId="9" fillId="33" borderId="112" xfId="0" applyNumberFormat="1" applyFont="1" applyFill="1" applyBorder="1" applyAlignment="1">
      <alignment vertical="center" shrinkToFit="1"/>
    </xf>
    <xf numFmtId="38" fontId="9" fillId="33" borderId="107" xfId="0" applyNumberFormat="1" applyFont="1" applyFill="1" applyBorder="1" applyAlignment="1">
      <alignment vertical="center" shrinkToFit="1"/>
    </xf>
    <xf numFmtId="181" fontId="13" fillId="33" borderId="108" xfId="0" applyNumberFormat="1" applyFont="1" applyFill="1" applyBorder="1" applyAlignment="1">
      <alignment horizontal="right" vertical="center" shrinkToFit="1"/>
    </xf>
    <xf numFmtId="180" fontId="9" fillId="33" borderId="75" xfId="0" applyNumberFormat="1" applyFont="1" applyFill="1" applyBorder="1" applyAlignment="1">
      <alignment vertical="center" shrinkToFit="1"/>
    </xf>
    <xf numFmtId="181" fontId="13" fillId="33" borderId="103" xfId="0" applyNumberFormat="1" applyFont="1" applyFill="1" applyBorder="1" applyAlignment="1">
      <alignment horizontal="right" vertical="center" shrinkToFit="1"/>
    </xf>
    <xf numFmtId="38" fontId="9" fillId="0" borderId="112" xfId="0" applyNumberFormat="1" applyFont="1" applyBorder="1" applyAlignment="1">
      <alignment vertical="center" shrinkToFit="1"/>
    </xf>
    <xf numFmtId="38" fontId="9" fillId="0" borderId="107" xfId="0" applyNumberFormat="1" applyFont="1" applyBorder="1" applyAlignment="1">
      <alignment vertical="center" shrinkToFit="1"/>
    </xf>
    <xf numFmtId="181" fontId="13" fillId="0" borderId="108" xfId="0" applyNumberFormat="1" applyFont="1" applyBorder="1" applyAlignment="1">
      <alignment horizontal="right" vertical="center" shrinkToFit="1"/>
    </xf>
    <xf numFmtId="181" fontId="13" fillId="0" borderId="108" xfId="0" applyNumberFormat="1" applyFont="1" applyFill="1" applyBorder="1" applyAlignment="1">
      <alignment horizontal="right" vertical="center" shrinkToFit="1"/>
    </xf>
    <xf numFmtId="38" fontId="9" fillId="0" borderId="75" xfId="0" applyNumberFormat="1" applyFont="1" applyBorder="1" applyAlignment="1">
      <alignment vertical="center" shrinkToFit="1"/>
    </xf>
    <xf numFmtId="182" fontId="13" fillId="0" borderId="108" xfId="0" applyNumberFormat="1" applyFont="1" applyBorder="1" applyAlignment="1">
      <alignment horizontal="right" vertical="center" shrinkToFit="1"/>
    </xf>
    <xf numFmtId="180" fontId="9" fillId="0" borderId="75" xfId="0" applyNumberFormat="1" applyFont="1" applyFill="1" applyBorder="1" applyAlignment="1">
      <alignment vertical="center" shrinkToFit="1"/>
    </xf>
    <xf numFmtId="38" fontId="9" fillId="36" borderId="112" xfId="0" applyNumberFormat="1" applyFont="1" applyFill="1" applyBorder="1" applyAlignment="1">
      <alignment vertical="center" shrinkToFit="1"/>
    </xf>
    <xf numFmtId="38" fontId="9" fillId="36" borderId="107" xfId="0" applyNumberFormat="1" applyFont="1" applyFill="1" applyBorder="1" applyAlignment="1">
      <alignment vertical="center" shrinkToFit="1"/>
    </xf>
    <xf numFmtId="38" fontId="9" fillId="34" borderId="112" xfId="0" applyNumberFormat="1" applyFont="1" applyFill="1" applyBorder="1" applyAlignment="1">
      <alignment horizontal="right" vertical="center" shrinkToFit="1"/>
    </xf>
    <xf numFmtId="38" fontId="9" fillId="34" borderId="107" xfId="0" applyNumberFormat="1" applyFont="1" applyFill="1" applyBorder="1" applyAlignment="1">
      <alignment horizontal="right" vertical="center" shrinkToFit="1"/>
    </xf>
    <xf numFmtId="38" fontId="9" fillId="34" borderId="112" xfId="0" applyNumberFormat="1" applyFont="1" applyFill="1" applyBorder="1" applyAlignment="1">
      <alignment vertical="center" shrinkToFit="1"/>
    </xf>
    <xf numFmtId="38" fontId="9" fillId="34" borderId="107" xfId="0" applyNumberFormat="1" applyFont="1" applyFill="1" applyBorder="1" applyAlignment="1">
      <alignment vertical="center" shrinkToFit="1"/>
    </xf>
    <xf numFmtId="180" fontId="13" fillId="0" borderId="75" xfId="0" applyNumberFormat="1" applyFont="1" applyBorder="1" applyAlignment="1">
      <alignment vertical="center" shrinkToFit="1"/>
    </xf>
    <xf numFmtId="38" fontId="9" fillId="0" borderId="112" xfId="0" applyNumberFormat="1" applyFont="1" applyFill="1" applyBorder="1" applyAlignment="1">
      <alignment vertical="center" shrinkToFit="1"/>
    </xf>
    <xf numFmtId="38" fontId="9" fillId="0" borderId="107" xfId="0" applyNumberFormat="1" applyFont="1" applyFill="1" applyBorder="1" applyAlignment="1">
      <alignment vertical="center" shrinkToFit="1"/>
    </xf>
    <xf numFmtId="38" fontId="0" fillId="0" borderId="113" xfId="0" applyNumberFormat="1" applyBorder="1" applyAlignment="1">
      <alignment vertical="center" shrinkToFit="1"/>
    </xf>
    <xf numFmtId="38" fontId="0" fillId="0" borderId="114" xfId="0" applyNumberFormat="1" applyBorder="1" applyAlignment="1">
      <alignment vertical="center" shrinkToFit="1"/>
    </xf>
    <xf numFmtId="182" fontId="14" fillId="0" borderId="115" xfId="0" applyNumberFormat="1" applyFont="1" applyBorder="1" applyAlignment="1">
      <alignment vertical="center" shrinkToFit="1"/>
    </xf>
    <xf numFmtId="182" fontId="14" fillId="0" borderId="116" xfId="0" applyNumberFormat="1" applyFont="1" applyBorder="1" applyAlignment="1">
      <alignment vertical="center" shrinkToFit="1"/>
    </xf>
    <xf numFmtId="179" fontId="0" fillId="0" borderId="104" xfId="0" applyNumberFormat="1" applyBorder="1" applyAlignment="1">
      <alignment horizontal="center" vertical="center" shrinkToFit="1"/>
    </xf>
    <xf numFmtId="38" fontId="9" fillId="33" borderId="107" xfId="0" applyNumberFormat="1" applyFont="1" applyFill="1" applyBorder="1" applyAlignment="1">
      <alignment horizontal="right" vertical="center" shrinkToFit="1"/>
    </xf>
    <xf numFmtId="181" fontId="13" fillId="0" borderId="104" xfId="0" applyNumberFormat="1" applyFont="1" applyFill="1" applyBorder="1" applyAlignment="1">
      <alignment horizontal="right" vertical="center" shrinkToFit="1"/>
    </xf>
    <xf numFmtId="38" fontId="9" fillId="0" borderId="75" xfId="0" applyNumberFormat="1" applyFont="1" applyFill="1" applyBorder="1" applyAlignment="1">
      <alignment vertical="center" shrinkToFit="1"/>
    </xf>
    <xf numFmtId="38" fontId="9" fillId="35" borderId="112" xfId="0" applyNumberFormat="1" applyFont="1" applyFill="1" applyBorder="1" applyAlignment="1">
      <alignment vertical="center" shrinkToFit="1"/>
    </xf>
    <xf numFmtId="38" fontId="9" fillId="35" borderId="107" xfId="0" applyNumberFormat="1" applyFont="1" applyFill="1" applyBorder="1" applyAlignment="1">
      <alignment horizontal="right" vertical="center" shrinkToFit="1"/>
    </xf>
    <xf numFmtId="180" fontId="13" fillId="35" borderId="75" xfId="0" applyNumberFormat="1" applyFont="1" applyFill="1" applyBorder="1" applyAlignment="1">
      <alignment vertical="center" shrinkToFit="1"/>
    </xf>
    <xf numFmtId="181" fontId="13" fillId="35" borderId="108" xfId="0" applyNumberFormat="1" applyFont="1" applyFill="1" applyBorder="1" applyAlignment="1">
      <alignment horizontal="right" vertical="center" shrinkToFit="1"/>
    </xf>
    <xf numFmtId="38" fontId="9" fillId="34" borderId="75" xfId="0" applyNumberFormat="1" applyFont="1" applyFill="1" applyBorder="1" applyAlignment="1">
      <alignment vertical="center" shrinkToFit="1"/>
    </xf>
    <xf numFmtId="38" fontId="9" fillId="33" borderId="75" xfId="0" applyNumberFormat="1" applyFont="1" applyFill="1" applyBorder="1" applyAlignment="1">
      <alignment vertical="center" shrinkToFit="1"/>
    </xf>
    <xf numFmtId="38" fontId="9" fillId="35" borderId="75" xfId="0" applyNumberFormat="1" applyFont="1" applyFill="1" applyBorder="1" applyAlignment="1">
      <alignment vertical="center" shrinkToFit="1"/>
    </xf>
    <xf numFmtId="38" fontId="13" fillId="0" borderId="75" xfId="0" applyNumberFormat="1" applyFont="1" applyFill="1" applyBorder="1" applyAlignment="1">
      <alignment vertical="center" shrinkToFit="1"/>
    </xf>
    <xf numFmtId="38" fontId="13" fillId="35" borderId="75" xfId="0" applyNumberFormat="1" applyFont="1" applyFill="1" applyBorder="1" applyAlignment="1">
      <alignment vertical="center" shrinkToFit="1"/>
    </xf>
    <xf numFmtId="182" fontId="13" fillId="35" borderId="108" xfId="0" applyNumberFormat="1" applyFont="1" applyFill="1" applyBorder="1" applyAlignment="1">
      <alignment horizontal="right" vertical="center" shrinkToFit="1"/>
    </xf>
    <xf numFmtId="38" fontId="0" fillId="0" borderId="76" xfId="0" applyNumberFormat="1" applyBorder="1" applyAlignment="1">
      <alignment vertical="center" shrinkToFit="1"/>
    </xf>
    <xf numFmtId="182" fontId="14" fillId="0" borderId="117" xfId="0" applyNumberFormat="1" applyFont="1" applyBorder="1" applyAlignment="1">
      <alignment vertical="center" shrinkToFit="1"/>
    </xf>
    <xf numFmtId="0" fontId="9" fillId="0" borderId="106" xfId="0" applyFont="1" applyBorder="1" applyAlignment="1">
      <alignment shrinkToFit="1"/>
    </xf>
    <xf numFmtId="0" fontId="9" fillId="0" borderId="0" xfId="0" applyFont="1" applyAlignment="1">
      <alignment shrinkToFit="1"/>
    </xf>
    <xf numFmtId="178" fontId="9" fillId="0" borderId="106" xfId="0" applyNumberFormat="1" applyFont="1" applyBorder="1" applyAlignment="1">
      <alignment shrinkToFit="1"/>
    </xf>
    <xf numFmtId="178" fontId="9" fillId="0" borderId="0" xfId="0" applyNumberFormat="1" applyFont="1" applyAlignment="1">
      <alignment shrinkToFit="1"/>
    </xf>
    <xf numFmtId="176" fontId="9" fillId="0" borderId="0" xfId="0" applyNumberFormat="1" applyFont="1" applyAlignment="1">
      <alignment shrinkToFit="1"/>
    </xf>
    <xf numFmtId="176" fontId="0" fillId="0" borderId="75" xfId="0" applyNumberFormat="1" applyBorder="1" applyAlignment="1">
      <alignment horizontal="center" vertical="center" shrinkToFit="1"/>
    </xf>
    <xf numFmtId="0" fontId="9" fillId="0" borderId="112" xfId="0" applyFont="1" applyBorder="1" applyAlignment="1">
      <alignment vertical="center" shrinkToFit="1"/>
    </xf>
    <xf numFmtId="0" fontId="9" fillId="0" borderId="0" xfId="0" applyFont="1" applyAlignment="1">
      <alignment vertical="center" shrinkToFit="1"/>
    </xf>
    <xf numFmtId="178" fontId="9" fillId="0" borderId="112" xfId="0" applyNumberFormat="1" applyFont="1" applyBorder="1" applyAlignment="1">
      <alignment vertical="center" shrinkToFit="1"/>
    </xf>
    <xf numFmtId="178" fontId="9" fillId="0" borderId="0" xfId="0" applyNumberFormat="1" applyFont="1" applyAlignment="1">
      <alignment vertical="center" shrinkToFit="1"/>
    </xf>
    <xf numFmtId="176" fontId="9" fillId="0" borderId="0" xfId="0" applyNumberFormat="1" applyFont="1" applyAlignment="1">
      <alignment vertical="center" shrinkToFit="1"/>
    </xf>
    <xf numFmtId="176" fontId="9" fillId="0" borderId="75" xfId="0" applyNumberFormat="1" applyFont="1" applyFill="1" applyBorder="1" applyAlignment="1">
      <alignment vertical="center" shrinkToFit="1"/>
    </xf>
    <xf numFmtId="3" fontId="9" fillId="34" borderId="112" xfId="0" applyNumberFormat="1" applyFont="1" applyFill="1" applyBorder="1" applyAlignment="1">
      <alignment vertical="center" shrinkToFit="1"/>
    </xf>
    <xf numFmtId="3" fontId="9" fillId="34" borderId="0" xfId="0" applyNumberFormat="1" applyFont="1" applyFill="1" applyAlignment="1">
      <alignment vertical="center" shrinkToFit="1"/>
    </xf>
    <xf numFmtId="3" fontId="9" fillId="34" borderId="75" xfId="0" applyNumberFormat="1" applyFont="1" applyFill="1" applyBorder="1" applyAlignment="1">
      <alignment vertical="center" shrinkToFit="1"/>
    </xf>
    <xf numFmtId="3" fontId="9" fillId="33" borderId="112" xfId="0" applyNumberFormat="1" applyFont="1" applyFill="1" applyBorder="1" applyAlignment="1">
      <alignment vertical="center" shrinkToFit="1"/>
    </xf>
    <xf numFmtId="3" fontId="9" fillId="33" borderId="0" xfId="0" applyNumberFormat="1" applyFont="1" applyFill="1" applyAlignment="1">
      <alignment vertical="center" shrinkToFit="1"/>
    </xf>
    <xf numFmtId="0" fontId="9" fillId="0" borderId="113" xfId="0" applyFont="1" applyBorder="1" applyAlignment="1">
      <alignment vertical="center" shrinkToFit="1"/>
    </xf>
    <xf numFmtId="0" fontId="9" fillId="0" borderId="51" xfId="0" applyFont="1" applyBorder="1" applyAlignment="1">
      <alignment vertical="center" shrinkToFit="1"/>
    </xf>
    <xf numFmtId="178" fontId="9" fillId="0" borderId="113" xfId="0" applyNumberFormat="1" applyFont="1" applyBorder="1" applyAlignment="1">
      <alignment vertical="center" shrinkToFit="1"/>
    </xf>
    <xf numFmtId="178" fontId="9" fillId="0" borderId="51" xfId="0" applyNumberFormat="1" applyFont="1" applyBorder="1" applyAlignment="1">
      <alignment vertical="center" shrinkToFit="1"/>
    </xf>
    <xf numFmtId="176" fontId="9" fillId="0" borderId="114" xfId="0" applyNumberFormat="1" applyFont="1" applyBorder="1" applyAlignment="1">
      <alignment vertical="center" shrinkToFit="1"/>
    </xf>
    <xf numFmtId="178" fontId="9" fillId="0" borderId="114" xfId="0" applyNumberFormat="1" applyFont="1" applyBorder="1" applyAlignment="1">
      <alignment vertical="center" shrinkToFit="1"/>
    </xf>
    <xf numFmtId="176" fontId="14" fillId="0" borderId="76" xfId="0" applyNumberFormat="1" applyFont="1" applyBorder="1" applyAlignment="1">
      <alignment vertical="center" shrinkToFit="1"/>
    </xf>
    <xf numFmtId="176" fontId="9" fillId="0" borderId="106" xfId="0" applyNumberFormat="1" applyFont="1" applyBorder="1" applyAlignment="1">
      <alignment shrinkToFit="1"/>
    </xf>
    <xf numFmtId="176" fontId="9" fillId="0" borderId="0" xfId="0" applyNumberFormat="1" applyFont="1" applyAlignment="1">
      <alignment horizontal="right" shrinkToFit="1"/>
    </xf>
    <xf numFmtId="178" fontId="9" fillId="0" borderId="118" xfId="0" applyNumberFormat="1" applyFont="1" applyBorder="1" applyAlignment="1">
      <alignment shrinkToFit="1"/>
    </xf>
    <xf numFmtId="180" fontId="13" fillId="33" borderId="75" xfId="0" applyNumberFormat="1" applyFont="1" applyFill="1" applyBorder="1" applyAlignment="1">
      <alignment horizontal="right" vertical="center" shrinkToFit="1"/>
    </xf>
    <xf numFmtId="38" fontId="9" fillId="33" borderId="119" xfId="0" applyNumberFormat="1" applyFont="1" applyFill="1" applyBorder="1" applyAlignment="1">
      <alignment vertical="center" shrinkToFit="1"/>
    </xf>
    <xf numFmtId="176" fontId="9" fillId="0" borderId="112" xfId="0" applyNumberFormat="1" applyFont="1" applyBorder="1" applyAlignment="1">
      <alignment shrinkToFit="1"/>
    </xf>
    <xf numFmtId="178" fontId="9" fillId="0" borderId="112" xfId="0" applyNumberFormat="1" applyFont="1" applyBorder="1" applyAlignment="1">
      <alignment shrinkToFit="1"/>
    </xf>
    <xf numFmtId="178" fontId="9" fillId="0" borderId="119" xfId="0" applyNumberFormat="1" applyFont="1" applyBorder="1" applyAlignment="1">
      <alignment shrinkToFit="1"/>
    </xf>
    <xf numFmtId="176" fontId="9" fillId="35" borderId="112" xfId="0" applyNumberFormat="1" applyFont="1" applyFill="1" applyBorder="1" applyAlignment="1">
      <alignment vertical="center" shrinkToFit="1"/>
    </xf>
    <xf numFmtId="176" fontId="9" fillId="35" borderId="0" xfId="0" applyNumberFormat="1" applyFont="1" applyFill="1" applyAlignment="1">
      <alignment horizontal="right" vertical="center" shrinkToFit="1"/>
    </xf>
    <xf numFmtId="176" fontId="9" fillId="0" borderId="112" xfId="0" applyNumberFormat="1" applyFont="1" applyBorder="1" applyAlignment="1">
      <alignment vertical="center" shrinkToFit="1"/>
    </xf>
    <xf numFmtId="176" fontId="9" fillId="0" borderId="107" xfId="0" applyNumberFormat="1" applyFont="1" applyBorder="1" applyAlignment="1">
      <alignment horizontal="right" vertical="center" shrinkToFit="1"/>
    </xf>
    <xf numFmtId="176" fontId="9" fillId="33" borderId="75" xfId="0" applyNumberFormat="1" applyFont="1" applyFill="1" applyBorder="1" applyAlignment="1">
      <alignment vertical="center" shrinkToFit="1"/>
    </xf>
    <xf numFmtId="176" fontId="9" fillId="34" borderId="75" xfId="0" applyNumberFormat="1" applyFont="1" applyFill="1" applyBorder="1" applyAlignment="1">
      <alignment vertical="center" shrinkToFit="1"/>
    </xf>
    <xf numFmtId="178" fontId="9" fillId="35" borderId="119" xfId="0" applyNumberFormat="1" applyFont="1" applyFill="1" applyBorder="1" applyAlignment="1">
      <alignment shrinkToFit="1"/>
    </xf>
    <xf numFmtId="178" fontId="9" fillId="35" borderId="0" xfId="0" applyNumberFormat="1" applyFont="1" applyFill="1" applyAlignment="1">
      <alignment shrinkToFit="1"/>
    </xf>
    <xf numFmtId="38" fontId="9" fillId="35" borderId="103" xfId="0" applyNumberFormat="1" applyFont="1" applyFill="1" applyBorder="1" applyAlignment="1">
      <alignment vertical="center" shrinkToFit="1"/>
    </xf>
    <xf numFmtId="176" fontId="9" fillId="0" borderId="75" xfId="0" applyNumberFormat="1" applyFont="1" applyBorder="1" applyAlignment="1">
      <alignment vertical="center" shrinkToFit="1"/>
    </xf>
    <xf numFmtId="182" fontId="13" fillId="0" borderId="103" xfId="0" applyNumberFormat="1" applyFont="1" applyBorder="1" applyAlignment="1">
      <alignment vertical="center" shrinkToFit="1"/>
    </xf>
    <xf numFmtId="176" fontId="9" fillId="35" borderId="75" xfId="0" applyNumberFormat="1" applyFont="1" applyFill="1" applyBorder="1" applyAlignment="1">
      <alignment vertical="center" shrinkToFit="1"/>
    </xf>
    <xf numFmtId="38" fontId="9" fillId="33" borderId="0" xfId="0" applyNumberFormat="1" applyFont="1" applyFill="1" applyAlignment="1">
      <alignment vertical="center" shrinkToFit="1"/>
    </xf>
    <xf numFmtId="38" fontId="9" fillId="0" borderId="76" xfId="0" applyNumberFormat="1" applyFont="1" applyBorder="1" applyAlignment="1">
      <alignment vertical="center" shrinkToFit="1"/>
    </xf>
    <xf numFmtId="178" fontId="9" fillId="0" borderId="113" xfId="0" applyNumberFormat="1" applyFont="1" applyBorder="1" applyAlignment="1">
      <alignment shrinkToFit="1"/>
    </xf>
    <xf numFmtId="178" fontId="9" fillId="0" borderId="114" xfId="0" applyNumberFormat="1" applyFont="1" applyBorder="1" applyAlignment="1">
      <alignment shrinkToFit="1"/>
    </xf>
    <xf numFmtId="178" fontId="9" fillId="0" borderId="76" xfId="0" applyNumberFormat="1" applyFont="1" applyBorder="1" applyAlignment="1">
      <alignment shrinkToFit="1"/>
    </xf>
    <xf numFmtId="179" fontId="0" fillId="0" borderId="107" xfId="0" applyNumberFormat="1" applyBorder="1" applyAlignment="1">
      <alignment horizontal="right" vertical="center" shrinkToFit="1"/>
    </xf>
    <xf numFmtId="179" fontId="0" fillId="0" borderId="119" xfId="0" applyNumberFormat="1" applyBorder="1" applyAlignment="1">
      <alignment horizontal="center" vertical="center" shrinkToFit="1"/>
    </xf>
    <xf numFmtId="38" fontId="9" fillId="0" borderId="107" xfId="0" applyNumberFormat="1" applyFont="1" applyBorder="1" applyAlignment="1">
      <alignment horizontal="right" vertical="center" shrinkToFit="1"/>
    </xf>
    <xf numFmtId="38" fontId="9" fillId="0" borderId="119" xfId="0" applyNumberFormat="1" applyFont="1" applyBorder="1" applyAlignment="1">
      <alignment vertical="center" shrinkToFit="1"/>
    </xf>
    <xf numFmtId="38" fontId="9" fillId="35" borderId="119" xfId="0" applyNumberFormat="1" applyFont="1" applyFill="1" applyBorder="1" applyAlignment="1">
      <alignment vertical="center" shrinkToFit="1"/>
    </xf>
    <xf numFmtId="38" fontId="0" fillId="0" borderId="120" xfId="0" applyNumberFormat="1" applyBorder="1" applyAlignment="1">
      <alignment vertical="center" shrinkToFit="1"/>
    </xf>
    <xf numFmtId="0" fontId="3" fillId="0" borderId="48" xfId="0" applyFont="1" applyBorder="1" applyAlignment="1">
      <alignment vertical="center" shrinkToFit="1"/>
    </xf>
    <xf numFmtId="0" fontId="5" fillId="0" borderId="36" xfId="0" applyFont="1" applyBorder="1" applyAlignment="1">
      <alignment horizontal="center" vertical="center"/>
    </xf>
    <xf numFmtId="0" fontId="5" fillId="0" borderId="38" xfId="0" applyFont="1" applyBorder="1" applyAlignment="1">
      <alignment horizontal="center" vertical="center"/>
    </xf>
    <xf numFmtId="177" fontId="5" fillId="37" borderId="28" xfId="49" applyNumberFormat="1" applyFont="1" applyFill="1" applyBorder="1" applyAlignment="1">
      <alignment horizontal="right" vertical="center"/>
    </xf>
    <xf numFmtId="177" fontId="5" fillId="37" borderId="40" xfId="49" applyNumberFormat="1" applyFont="1" applyFill="1" applyBorder="1" applyAlignment="1">
      <alignment horizontal="right" vertical="center"/>
    </xf>
    <xf numFmtId="177" fontId="6" fillId="37" borderId="20" xfId="49" applyNumberFormat="1" applyFont="1" applyFill="1" applyBorder="1" applyAlignment="1">
      <alignment horizontal="right" vertical="center"/>
    </xf>
    <xf numFmtId="177" fontId="6" fillId="37" borderId="43" xfId="49" applyNumberFormat="1" applyFont="1" applyFill="1" applyBorder="1" applyAlignment="1">
      <alignment horizontal="right" vertical="center"/>
    </xf>
    <xf numFmtId="178" fontId="5" fillId="40" borderId="20" xfId="0" applyNumberFormat="1" applyFont="1" applyFill="1" applyBorder="1" applyAlignment="1">
      <alignment vertical="center"/>
    </xf>
    <xf numFmtId="178" fontId="5" fillId="40" borderId="43" xfId="0" applyNumberFormat="1" applyFont="1" applyFill="1" applyBorder="1" applyAlignment="1">
      <alignment vertical="center"/>
    </xf>
    <xf numFmtId="178" fontId="5" fillId="41" borderId="20" xfId="0" applyNumberFormat="1" applyFont="1" applyFill="1" applyBorder="1" applyAlignment="1">
      <alignment vertical="center"/>
    </xf>
    <xf numFmtId="178" fontId="5" fillId="40" borderId="14" xfId="0" applyNumberFormat="1" applyFont="1" applyFill="1" applyBorder="1" applyAlignment="1">
      <alignment vertical="center"/>
    </xf>
    <xf numFmtId="178" fontId="5" fillId="0" borderId="59" xfId="0" applyNumberFormat="1" applyFont="1" applyBorder="1" applyAlignment="1">
      <alignment horizontal="right" vertical="center"/>
    </xf>
    <xf numFmtId="0" fontId="5" fillId="0" borderId="15" xfId="0" applyFont="1" applyFill="1" applyBorder="1" applyAlignment="1">
      <alignment vertical="center" shrinkToFit="1"/>
    </xf>
    <xf numFmtId="176" fontId="5" fillId="0" borderId="59" xfId="49" applyNumberFormat="1" applyFont="1" applyFill="1" applyBorder="1" applyAlignment="1">
      <alignment vertical="center" shrinkToFit="1"/>
    </xf>
    <xf numFmtId="176" fontId="5" fillId="0" borderId="98" xfId="49" applyNumberFormat="1" applyFont="1" applyFill="1" applyBorder="1" applyAlignment="1">
      <alignment vertical="center" shrinkToFit="1"/>
    </xf>
    <xf numFmtId="176" fontId="5" fillId="0" borderId="121" xfId="49" applyNumberFormat="1" applyFont="1" applyFill="1" applyBorder="1" applyAlignment="1">
      <alignment horizontal="right" vertical="center" shrinkToFit="1"/>
    </xf>
    <xf numFmtId="176" fontId="5" fillId="0" borderId="122" xfId="49" applyNumberFormat="1" applyFont="1" applyFill="1" applyBorder="1" applyAlignment="1">
      <alignment horizontal="right" vertical="center" shrinkToFit="1"/>
    </xf>
    <xf numFmtId="176" fontId="5" fillId="35" borderId="14" xfId="49" applyNumberFormat="1" applyFont="1" applyFill="1" applyBorder="1" applyAlignment="1">
      <alignment horizontal="right" vertical="center" shrinkToFit="1"/>
    </xf>
    <xf numFmtId="176" fontId="5" fillId="35" borderId="20" xfId="49" applyNumberFormat="1" applyFont="1" applyFill="1" applyBorder="1" applyAlignment="1">
      <alignment horizontal="right" vertical="center" shrinkToFit="1"/>
    </xf>
    <xf numFmtId="176" fontId="5" fillId="0" borderId="14" xfId="49" applyNumberFormat="1" applyFont="1" applyFill="1" applyBorder="1" applyAlignment="1">
      <alignment horizontal="right" vertical="center" shrinkToFit="1"/>
    </xf>
    <xf numFmtId="176" fontId="5" fillId="0" borderId="20" xfId="49" applyNumberFormat="1" applyFont="1" applyFill="1" applyBorder="1" applyAlignment="1">
      <alignment horizontal="right" vertical="center" shrinkToFit="1"/>
    </xf>
    <xf numFmtId="176" fontId="5" fillId="0" borderId="15" xfId="49" applyNumberFormat="1" applyFont="1" applyFill="1" applyBorder="1" applyAlignment="1">
      <alignment horizontal="right" vertical="center" shrinkToFit="1"/>
    </xf>
    <xf numFmtId="176" fontId="5" fillId="0" borderId="33" xfId="49" applyNumberFormat="1" applyFont="1" applyFill="1" applyBorder="1" applyAlignment="1">
      <alignment horizontal="right" vertical="center" shrinkToFit="1"/>
    </xf>
    <xf numFmtId="176" fontId="5" fillId="0" borderId="18" xfId="49" applyNumberFormat="1" applyFont="1" applyFill="1" applyBorder="1" applyAlignment="1">
      <alignment vertical="center" shrinkToFit="1"/>
    </xf>
    <xf numFmtId="176" fontId="5" fillId="0" borderId="41" xfId="49" applyNumberFormat="1" applyFont="1" applyFill="1" applyBorder="1" applyAlignment="1">
      <alignment vertical="center" shrinkToFit="1"/>
    </xf>
    <xf numFmtId="176" fontId="5" fillId="0" borderId="16" xfId="49" applyNumberFormat="1" applyFont="1" applyFill="1" applyBorder="1" applyAlignment="1">
      <alignment horizontal="right" vertical="center" shrinkToFit="1"/>
    </xf>
    <xf numFmtId="176" fontId="5" fillId="0" borderId="43" xfId="49" applyNumberFormat="1" applyFont="1" applyFill="1" applyBorder="1" applyAlignment="1">
      <alignment horizontal="right" vertical="center" shrinkToFit="1"/>
    </xf>
    <xf numFmtId="178" fontId="5" fillId="0" borderId="18" xfId="0" applyNumberFormat="1" applyFont="1" applyBorder="1" applyAlignment="1">
      <alignment vertical="center" shrinkToFit="1"/>
    </xf>
    <xf numFmtId="178" fontId="5" fillId="40" borderId="123" xfId="0" applyNumberFormat="1" applyFont="1" applyFill="1" applyBorder="1" applyAlignment="1">
      <alignment vertical="center"/>
    </xf>
    <xf numFmtId="178" fontId="5" fillId="40" borderId="15" xfId="0" applyNumberFormat="1" applyFont="1" applyFill="1" applyBorder="1" applyAlignment="1">
      <alignment vertical="center"/>
    </xf>
    <xf numFmtId="178" fontId="5" fillId="40" borderId="33" xfId="0" applyNumberFormat="1" applyFont="1" applyFill="1" applyBorder="1" applyAlignment="1">
      <alignment vertical="center"/>
    </xf>
    <xf numFmtId="178" fontId="5" fillId="0" borderId="124" xfId="0" applyNumberFormat="1" applyFont="1" applyBorder="1" applyAlignment="1">
      <alignment vertical="center"/>
    </xf>
    <xf numFmtId="178" fontId="5" fillId="0" borderId="42" xfId="0" applyNumberFormat="1" applyFont="1" applyBorder="1" applyAlignment="1">
      <alignment vertical="center"/>
    </xf>
    <xf numFmtId="178" fontId="5" fillId="40" borderId="30" xfId="0" applyNumberFormat="1" applyFont="1" applyFill="1" applyBorder="1" applyAlignment="1">
      <alignment vertical="center"/>
    </xf>
    <xf numFmtId="178" fontId="5" fillId="40" borderId="125" xfId="0" applyNumberFormat="1" applyFont="1" applyFill="1" applyBorder="1" applyAlignment="1">
      <alignment vertical="center"/>
    </xf>
    <xf numFmtId="0" fontId="4" fillId="0" borderId="77" xfId="0" applyFont="1" applyBorder="1" applyAlignment="1">
      <alignment vertical="center" wrapText="1"/>
    </xf>
    <xf numFmtId="178" fontId="5" fillId="0" borderId="126" xfId="0" applyNumberFormat="1" applyFont="1" applyBorder="1" applyAlignment="1">
      <alignment vertical="center"/>
    </xf>
    <xf numFmtId="178" fontId="5" fillId="0" borderId="127" xfId="0" applyNumberFormat="1" applyFont="1" applyBorder="1" applyAlignment="1">
      <alignment vertical="center"/>
    </xf>
    <xf numFmtId="178" fontId="5" fillId="0" borderId="28" xfId="0" applyNumberFormat="1" applyFont="1" applyBorder="1" applyAlignment="1">
      <alignment vertical="center"/>
    </xf>
    <xf numFmtId="178" fontId="5" fillId="0" borderId="128" xfId="0" applyNumberFormat="1" applyFont="1" applyBorder="1" applyAlignment="1">
      <alignment vertical="center"/>
    </xf>
    <xf numFmtId="178" fontId="5" fillId="0" borderId="129" xfId="0" applyNumberFormat="1" applyFont="1" applyBorder="1" applyAlignment="1">
      <alignment vertical="center"/>
    </xf>
    <xf numFmtId="178" fontId="5" fillId="0" borderId="130" xfId="0" applyNumberFormat="1" applyFont="1" applyBorder="1" applyAlignment="1">
      <alignment vertical="center"/>
    </xf>
    <xf numFmtId="178" fontId="5" fillId="0" borderId="131" xfId="0" applyNumberFormat="1" applyFont="1" applyBorder="1" applyAlignment="1">
      <alignment vertical="center"/>
    </xf>
    <xf numFmtId="178" fontId="5" fillId="0" borderId="132" xfId="0" applyNumberFormat="1" applyFont="1" applyBorder="1" applyAlignment="1">
      <alignment vertical="center"/>
    </xf>
    <xf numFmtId="178" fontId="5" fillId="0" borderId="133" xfId="0" applyNumberFormat="1" applyFont="1" applyBorder="1" applyAlignment="1">
      <alignment vertical="center"/>
    </xf>
    <xf numFmtId="38" fontId="5" fillId="36" borderId="49" xfId="49" applyFont="1" applyFill="1" applyBorder="1" applyAlignment="1">
      <alignment horizontal="center" vertical="center"/>
    </xf>
    <xf numFmtId="178" fontId="5" fillId="0" borderId="88" xfId="0" applyNumberFormat="1" applyFont="1" applyBorder="1" applyAlignment="1">
      <alignment vertical="center"/>
    </xf>
    <xf numFmtId="178" fontId="5" fillId="35" borderId="133" xfId="0" applyNumberFormat="1" applyFont="1" applyFill="1" applyBorder="1" applyAlignment="1">
      <alignment vertical="center"/>
    </xf>
    <xf numFmtId="178" fontId="5" fillId="40" borderId="127" xfId="0" applyNumberFormat="1" applyFont="1" applyFill="1" applyBorder="1" applyAlignment="1">
      <alignment vertical="center"/>
    </xf>
    <xf numFmtId="178" fontId="5" fillId="35" borderId="41" xfId="0" applyNumberFormat="1" applyFont="1" applyFill="1" applyBorder="1" applyAlignment="1">
      <alignment vertical="center"/>
    </xf>
    <xf numFmtId="178" fontId="5" fillId="35" borderId="20" xfId="0" applyNumberFormat="1" applyFont="1" applyFill="1" applyBorder="1" applyAlignment="1">
      <alignment vertical="center"/>
    </xf>
    <xf numFmtId="178" fontId="5" fillId="0" borderId="134" xfId="0" applyNumberFormat="1" applyFont="1" applyFill="1" applyBorder="1" applyAlignment="1">
      <alignment vertical="center" wrapText="1"/>
    </xf>
    <xf numFmtId="178" fontId="5" fillId="0" borderId="35" xfId="0" applyNumberFormat="1" applyFont="1" applyFill="1" applyBorder="1" applyAlignment="1">
      <alignment vertical="center"/>
    </xf>
    <xf numFmtId="178" fontId="5" fillId="0" borderId="14" xfId="0" applyNumberFormat="1" applyFont="1" applyFill="1" applyBorder="1" applyAlignment="1">
      <alignment/>
    </xf>
    <xf numFmtId="178" fontId="92" fillId="0" borderId="0" xfId="0" applyNumberFormat="1" applyFont="1" applyAlignment="1">
      <alignment vertical="center"/>
    </xf>
    <xf numFmtId="38" fontId="9" fillId="42" borderId="75" xfId="0" applyNumberFormat="1" applyFont="1" applyFill="1" applyBorder="1" applyAlignment="1">
      <alignment vertical="center" shrinkToFit="1"/>
    </xf>
    <xf numFmtId="178" fontId="1" fillId="0" borderId="0" xfId="0" applyNumberFormat="1" applyFont="1" applyAlignment="1">
      <alignment horizontal="left" vertical="center"/>
    </xf>
    <xf numFmtId="178" fontId="5" fillId="0" borderId="59" xfId="0" applyNumberFormat="1" applyFont="1" applyFill="1" applyBorder="1" applyAlignment="1">
      <alignment/>
    </xf>
    <xf numFmtId="178" fontId="5" fillId="0" borderId="98" xfId="0" applyNumberFormat="1" applyFont="1" applyFill="1" applyBorder="1" applyAlignment="1">
      <alignment/>
    </xf>
    <xf numFmtId="178" fontId="5" fillId="0" borderId="135" xfId="0" applyNumberFormat="1" applyFont="1" applyFill="1" applyBorder="1" applyAlignment="1">
      <alignment/>
    </xf>
    <xf numFmtId="178" fontId="5" fillId="0" borderId="130" xfId="0" applyNumberFormat="1" applyFont="1" applyFill="1" applyBorder="1" applyAlignment="1">
      <alignment/>
    </xf>
    <xf numFmtId="178" fontId="5" fillId="0" borderId="20" xfId="0" applyNumberFormat="1" applyFont="1" applyFill="1" applyBorder="1" applyAlignment="1">
      <alignment/>
    </xf>
    <xf numFmtId="178" fontId="5" fillId="0" borderId="87" xfId="0" applyNumberFormat="1" applyFont="1" applyFill="1" applyBorder="1" applyAlignment="1">
      <alignment/>
    </xf>
    <xf numFmtId="178" fontId="5" fillId="0" borderId="15" xfId="0" applyNumberFormat="1" applyFont="1" applyFill="1" applyBorder="1" applyAlignment="1">
      <alignment/>
    </xf>
    <xf numFmtId="178" fontId="5" fillId="0" borderId="33" xfId="0" applyNumberFormat="1" applyFont="1" applyFill="1" applyBorder="1" applyAlignment="1">
      <alignment/>
    </xf>
    <xf numFmtId="178" fontId="5" fillId="0" borderId="18" xfId="0" applyNumberFormat="1" applyFont="1" applyFill="1" applyBorder="1" applyAlignment="1">
      <alignment/>
    </xf>
    <xf numFmtId="178" fontId="5" fillId="0" borderId="41" xfId="0" applyNumberFormat="1" applyFont="1" applyFill="1" applyBorder="1" applyAlignment="1">
      <alignment/>
    </xf>
    <xf numFmtId="0" fontId="5" fillId="0" borderId="135" xfId="0" applyFont="1" applyFill="1" applyBorder="1" applyAlignment="1">
      <alignment/>
    </xf>
    <xf numFmtId="178" fontId="5" fillId="0" borderId="66" xfId="0" applyNumberFormat="1" applyFont="1" applyFill="1" applyBorder="1" applyAlignment="1">
      <alignment/>
    </xf>
    <xf numFmtId="178" fontId="5" fillId="0" borderId="16" xfId="0" applyNumberFormat="1" applyFont="1" applyFill="1" applyBorder="1" applyAlignment="1">
      <alignment/>
    </xf>
    <xf numFmtId="178" fontId="5" fillId="0" borderId="43" xfId="0" applyNumberFormat="1" applyFont="1" applyFill="1" applyBorder="1" applyAlignment="1">
      <alignment/>
    </xf>
    <xf numFmtId="0" fontId="20" fillId="0" borderId="67" xfId="0" applyFont="1" applyBorder="1" applyAlignment="1">
      <alignment vertical="center"/>
    </xf>
    <xf numFmtId="0" fontId="5" fillId="0" borderId="0" xfId="0" applyFont="1" applyBorder="1" applyAlignment="1">
      <alignment vertical="center"/>
    </xf>
    <xf numFmtId="176" fontId="5" fillId="0" borderId="136" xfId="0" applyNumberFormat="1" applyFont="1" applyFill="1" applyBorder="1" applyAlignment="1">
      <alignment horizontal="right" vertical="center"/>
    </xf>
    <xf numFmtId="3" fontId="9" fillId="33" borderId="75" xfId="0" applyNumberFormat="1" applyFont="1" applyFill="1" applyBorder="1" applyAlignment="1">
      <alignment vertical="center" shrinkToFit="1"/>
    </xf>
    <xf numFmtId="3" fontId="9" fillId="33" borderId="107" xfId="0" applyNumberFormat="1" applyFont="1" applyFill="1" applyBorder="1" applyAlignment="1">
      <alignment vertical="center" shrinkToFit="1"/>
    </xf>
    <xf numFmtId="178" fontId="5" fillId="0" borderId="19" xfId="0" applyNumberFormat="1" applyFont="1" applyFill="1" applyBorder="1" applyAlignment="1">
      <alignment vertical="center"/>
    </xf>
    <xf numFmtId="0" fontId="5" fillId="0" borderId="67" xfId="0" applyFont="1" applyBorder="1" applyAlignment="1">
      <alignment vertical="center"/>
    </xf>
    <xf numFmtId="178" fontId="5" fillId="0" borderId="54" xfId="0" applyNumberFormat="1" applyFont="1" applyBorder="1" applyAlignment="1">
      <alignment vertical="center"/>
    </xf>
    <xf numFmtId="0" fontId="12" fillId="43" borderId="126" xfId="0" applyFont="1" applyFill="1" applyBorder="1" applyAlignment="1">
      <alignment horizontal="centerContinuous" vertical="center" wrapText="1"/>
    </xf>
    <xf numFmtId="0" fontId="0" fillId="43" borderId="53" xfId="0" applyFill="1" applyBorder="1" applyAlignment="1">
      <alignment horizontal="centerContinuous" vertical="center" wrapText="1"/>
    </xf>
    <xf numFmtId="0" fontId="12" fillId="0" borderId="19" xfId="0" applyFont="1" applyFill="1" applyBorder="1" applyAlignment="1">
      <alignment horizontal="centerContinuous" vertical="center"/>
    </xf>
    <xf numFmtId="0" fontId="12" fillId="0" borderId="31" xfId="0" applyFont="1" applyFill="1" applyBorder="1" applyAlignment="1">
      <alignment horizontal="centerContinuous" vertical="center"/>
    </xf>
    <xf numFmtId="0" fontId="12" fillId="0" borderId="19" xfId="0" applyFont="1" applyBorder="1" applyAlignment="1">
      <alignment horizontal="centerContinuous" vertical="center" wrapText="1"/>
    </xf>
    <xf numFmtId="0" fontId="0" fillId="0" borderId="31" xfId="0" applyBorder="1" applyAlignment="1">
      <alignment horizontal="centerContinuous" vertical="center" wrapText="1"/>
    </xf>
    <xf numFmtId="0" fontId="12" fillId="0" borderId="31" xfId="0" applyFont="1" applyBorder="1" applyAlignment="1">
      <alignment horizontal="centerContinuous" vertical="center" wrapText="1"/>
    </xf>
    <xf numFmtId="0" fontId="12" fillId="0" borderId="29" xfId="0" applyFont="1" applyBorder="1" applyAlignment="1">
      <alignment horizontal="centerContinuous" vertical="center" wrapText="1"/>
    </xf>
    <xf numFmtId="0" fontId="12" fillId="39" borderId="53" xfId="0" applyFont="1" applyFill="1" applyBorder="1" applyAlignment="1">
      <alignment horizontal="centerContinuous" vertical="center"/>
    </xf>
    <xf numFmtId="0" fontId="12" fillId="0" borderId="137" xfId="0" applyFont="1" applyBorder="1" applyAlignment="1">
      <alignment horizontal="center" vertical="center"/>
    </xf>
    <xf numFmtId="179" fontId="0" fillId="0" borderId="138" xfId="0" applyNumberFormat="1" applyBorder="1" applyAlignment="1">
      <alignment horizontal="center" vertical="center" shrinkToFit="1"/>
    </xf>
    <xf numFmtId="178" fontId="9" fillId="35" borderId="107" xfId="0" applyNumberFormat="1" applyFont="1" applyFill="1" applyBorder="1" applyAlignment="1">
      <alignment shrinkToFit="1"/>
    </xf>
    <xf numFmtId="179" fontId="0" fillId="0" borderId="139" xfId="0" applyNumberFormat="1" applyBorder="1" applyAlignment="1">
      <alignment horizontal="center" vertical="center" shrinkToFit="1"/>
    </xf>
    <xf numFmtId="181" fontId="13" fillId="33" borderId="139" xfId="0" applyNumberFormat="1" applyFont="1" applyFill="1" applyBorder="1" applyAlignment="1">
      <alignment horizontal="right" vertical="center" shrinkToFit="1"/>
    </xf>
    <xf numFmtId="181" fontId="13" fillId="0" borderId="139" xfId="0" applyNumberFormat="1" applyFont="1" applyFill="1" applyBorder="1" applyAlignment="1">
      <alignment horizontal="right" vertical="center" shrinkToFit="1"/>
    </xf>
    <xf numFmtId="182" fontId="14" fillId="0" borderId="140" xfId="0" applyNumberFormat="1" applyFont="1" applyBorder="1" applyAlignment="1">
      <alignment vertical="center" shrinkToFit="1"/>
    </xf>
    <xf numFmtId="0" fontId="12" fillId="0" borderId="67" xfId="0" applyFont="1" applyBorder="1" applyAlignment="1">
      <alignment/>
    </xf>
    <xf numFmtId="38" fontId="0" fillId="0" borderId="67" xfId="0" applyNumberFormat="1" applyBorder="1" applyAlignment="1">
      <alignment/>
    </xf>
    <xf numFmtId="0" fontId="12" fillId="39" borderId="126" xfId="0" applyFont="1" applyFill="1" applyBorder="1" applyAlignment="1">
      <alignment horizontal="centerContinuous" vertical="center"/>
    </xf>
    <xf numFmtId="0" fontId="12" fillId="38" borderId="141" xfId="0" applyFont="1" applyFill="1" applyBorder="1" applyAlignment="1">
      <alignment horizontal="centerContinuous" vertical="center" wrapText="1"/>
    </xf>
    <xf numFmtId="182" fontId="13" fillId="0" borderId="103" xfId="0" applyNumberFormat="1" applyFont="1" applyBorder="1" applyAlignment="1">
      <alignment horizontal="right" vertical="center" shrinkToFit="1"/>
    </xf>
    <xf numFmtId="38" fontId="5" fillId="0" borderId="0" xfId="0" applyNumberFormat="1" applyFont="1" applyAlignment="1">
      <alignment vertical="center"/>
    </xf>
    <xf numFmtId="0" fontId="93" fillId="0" borderId="0" xfId="0" applyFont="1" applyAlignment="1">
      <alignment vertical="center"/>
    </xf>
    <xf numFmtId="178" fontId="19" fillId="33" borderId="142" xfId="0" applyNumberFormat="1" applyFont="1" applyFill="1" applyBorder="1" applyAlignment="1">
      <alignment horizontal="distributed" vertical="center" shrinkToFit="1"/>
    </xf>
    <xf numFmtId="178" fontId="8" fillId="33" borderId="42" xfId="0" applyNumberFormat="1" applyFont="1" applyFill="1" applyBorder="1" applyAlignment="1">
      <alignment horizontal="distributed" vertical="center" shrinkToFit="1"/>
    </xf>
    <xf numFmtId="178" fontId="4" fillId="36" borderId="142" xfId="0" applyNumberFormat="1" applyFont="1" applyFill="1" applyBorder="1" applyAlignment="1">
      <alignment horizontal="distributed" vertical="center" shrinkToFit="1"/>
    </xf>
    <xf numFmtId="178" fontId="4" fillId="34" borderId="143" xfId="0" applyNumberFormat="1" applyFont="1" applyFill="1" applyBorder="1" applyAlignment="1">
      <alignment horizontal="distributed" vertical="center" shrinkToFit="1"/>
    </xf>
    <xf numFmtId="178" fontId="5" fillId="0" borderId="135" xfId="0" applyNumberFormat="1" applyFont="1" applyBorder="1" applyAlignment="1">
      <alignment vertical="center" shrinkToFit="1"/>
    </xf>
    <xf numFmtId="178" fontId="5" fillId="35" borderId="100" xfId="0" applyNumberFormat="1" applyFont="1" applyFill="1" applyBorder="1" applyAlignment="1">
      <alignment horizontal="distributed" vertical="center"/>
    </xf>
    <xf numFmtId="178" fontId="5" fillId="0" borderId="20" xfId="0" applyNumberFormat="1" applyFont="1" applyBorder="1" applyAlignment="1">
      <alignment vertical="center" shrinkToFit="1"/>
    </xf>
    <xf numFmtId="178" fontId="5" fillId="35" borderId="100" xfId="0" applyNumberFormat="1" applyFont="1" applyFill="1" applyBorder="1" applyAlignment="1">
      <alignment horizontal="center" vertical="center" shrinkToFit="1"/>
    </xf>
    <xf numFmtId="178" fontId="5" fillId="35" borderId="102" xfId="0" applyNumberFormat="1" applyFont="1" applyFill="1" applyBorder="1" applyAlignment="1">
      <alignment horizontal="distributed" vertical="center"/>
    </xf>
    <xf numFmtId="178" fontId="5" fillId="0" borderId="66" xfId="0" applyNumberFormat="1" applyFont="1" applyBorder="1" applyAlignment="1">
      <alignment vertical="center" shrinkToFit="1"/>
    </xf>
    <xf numFmtId="178" fontId="5" fillId="0" borderId="16" xfId="0" applyNumberFormat="1" applyFont="1" applyBorder="1" applyAlignment="1">
      <alignment vertical="center" shrinkToFit="1"/>
    </xf>
    <xf numFmtId="178" fontId="5" fillId="0" borderId="144" xfId="0" applyNumberFormat="1" applyFont="1" applyBorder="1" applyAlignment="1">
      <alignment vertical="center" shrinkToFit="1"/>
    </xf>
    <xf numFmtId="178" fontId="8" fillId="35" borderId="100" xfId="0" applyNumberFormat="1" applyFont="1" applyFill="1" applyBorder="1" applyAlignment="1">
      <alignment horizontal="distributed" vertical="center"/>
    </xf>
    <xf numFmtId="0" fontId="94" fillId="0" borderId="0" xfId="0" applyFont="1" applyAlignment="1">
      <alignment vertical="center"/>
    </xf>
    <xf numFmtId="0" fontId="94" fillId="0" borderId="0" xfId="0" applyFont="1" applyAlignment="1">
      <alignment horizontal="right" vertical="center"/>
    </xf>
    <xf numFmtId="0" fontId="0" fillId="0" borderId="14" xfId="0" applyBorder="1" applyAlignment="1">
      <alignment horizontal="distributed" vertical="center"/>
    </xf>
    <xf numFmtId="0" fontId="0" fillId="0" borderId="14" xfId="0" applyBorder="1" applyAlignment="1">
      <alignment horizontal="center"/>
    </xf>
    <xf numFmtId="0" fontId="0" fillId="0" borderId="42" xfId="0" applyBorder="1" applyAlignment="1">
      <alignment/>
    </xf>
    <xf numFmtId="0" fontId="0" fillId="0" borderId="142" xfId="0" applyBorder="1" applyAlignment="1">
      <alignment/>
    </xf>
    <xf numFmtId="38" fontId="0" fillId="0" borderId="14" xfId="49" applyFont="1" applyBorder="1" applyAlignment="1">
      <alignment/>
    </xf>
    <xf numFmtId="9" fontId="0" fillId="0" borderId="0" xfId="42" applyFont="1" applyAlignment="1">
      <alignment/>
    </xf>
    <xf numFmtId="0" fontId="0" fillId="0" borderId="0" xfId="0" applyNumberFormat="1" applyAlignment="1">
      <alignment/>
    </xf>
    <xf numFmtId="0" fontId="0" fillId="44" borderId="0" xfId="0" applyNumberFormat="1" applyFill="1" applyAlignment="1">
      <alignment/>
    </xf>
    <xf numFmtId="0" fontId="0" fillId="44" borderId="0" xfId="0" applyFill="1" applyAlignment="1">
      <alignment/>
    </xf>
    <xf numFmtId="200" fontId="0" fillId="0" borderId="0" xfId="0" applyNumberFormat="1" applyAlignment="1">
      <alignment/>
    </xf>
    <xf numFmtId="0" fontId="95" fillId="0" borderId="0" xfId="0" applyFont="1" applyAlignment="1">
      <alignment/>
    </xf>
    <xf numFmtId="200" fontId="0" fillId="44" borderId="0" xfId="0" applyNumberFormat="1" applyFill="1" applyAlignment="1">
      <alignment/>
    </xf>
    <xf numFmtId="0" fontId="0" fillId="0" borderId="0" xfId="0" applyFill="1" applyAlignment="1">
      <alignment/>
    </xf>
    <xf numFmtId="0" fontId="0" fillId="0" borderId="65" xfId="0" applyBorder="1" applyAlignment="1">
      <alignment horizontal="center"/>
    </xf>
    <xf numFmtId="38" fontId="0" fillId="0" borderId="14" xfId="49" applyFont="1" applyBorder="1" applyAlignment="1">
      <alignment horizontal="center"/>
    </xf>
    <xf numFmtId="38" fontId="0" fillId="0" borderId="14" xfId="49" applyFont="1" applyBorder="1" applyAlignment="1">
      <alignment horizontal="center" shrinkToFit="1"/>
    </xf>
    <xf numFmtId="0" fontId="0" fillId="0" borderId="14" xfId="0" applyBorder="1" applyAlignment="1">
      <alignment horizontal="right"/>
    </xf>
    <xf numFmtId="38" fontId="0" fillId="0" borderId="14" xfId="49" applyBorder="1" applyAlignment="1">
      <alignment/>
    </xf>
    <xf numFmtId="199" fontId="0" fillId="0" borderId="0" xfId="0" applyNumberFormat="1" applyBorder="1" applyAlignment="1">
      <alignment/>
    </xf>
    <xf numFmtId="0" fontId="0" fillId="0" borderId="18" xfId="0" applyBorder="1" applyAlignment="1">
      <alignment/>
    </xf>
    <xf numFmtId="0" fontId="96" fillId="0" borderId="0" xfId="0" applyFont="1" applyAlignment="1">
      <alignment/>
    </xf>
    <xf numFmtId="0" fontId="0" fillId="0" borderId="14" xfId="0" applyBorder="1" applyAlignment="1">
      <alignment/>
    </xf>
    <xf numFmtId="190" fontId="0" fillId="0" borderId="14" xfId="0" applyNumberFormat="1" applyBorder="1" applyAlignment="1">
      <alignment/>
    </xf>
    <xf numFmtId="190" fontId="0" fillId="0" borderId="0" xfId="0" applyNumberFormat="1" applyAlignment="1">
      <alignment/>
    </xf>
    <xf numFmtId="0" fontId="0" fillId="0" borderId="49" xfId="0" applyBorder="1" applyAlignment="1">
      <alignment horizontal="left"/>
    </xf>
    <xf numFmtId="0" fontId="0" fillId="0" borderId="52" xfId="0" applyBorder="1" applyAlignment="1">
      <alignment horizontal="right"/>
    </xf>
    <xf numFmtId="0" fontId="0" fillId="0" borderId="0" xfId="0" applyBorder="1" applyAlignment="1">
      <alignment horizontal="left"/>
    </xf>
    <xf numFmtId="0" fontId="0" fillId="0" borderId="48" xfId="0" applyBorder="1" applyAlignment="1">
      <alignment horizontal="left"/>
    </xf>
    <xf numFmtId="0" fontId="0" fillId="0" borderId="51" xfId="0" applyBorder="1" applyAlignment="1">
      <alignment horizontal="left"/>
    </xf>
    <xf numFmtId="0" fontId="0" fillId="0" borderId="39" xfId="0" applyBorder="1" applyAlignment="1">
      <alignment horizontal="left"/>
    </xf>
    <xf numFmtId="38" fontId="21" fillId="0" borderId="16" xfId="49" applyFont="1" applyBorder="1" applyAlignment="1">
      <alignment horizontal="distributed" vertical="center"/>
    </xf>
    <xf numFmtId="0" fontId="0" fillId="0" borderId="68" xfId="0" applyBorder="1" applyAlignment="1">
      <alignment horizontal="left"/>
    </xf>
    <xf numFmtId="0" fontId="0" fillId="0" borderId="67" xfId="0" applyBorder="1" applyAlignment="1">
      <alignment horizontal="left"/>
    </xf>
    <xf numFmtId="0" fontId="0" fillId="0" borderId="69" xfId="0" applyBorder="1" applyAlignment="1">
      <alignment horizontal="left"/>
    </xf>
    <xf numFmtId="0" fontId="0" fillId="0" borderId="145" xfId="0" applyBorder="1" applyAlignment="1">
      <alignment/>
    </xf>
    <xf numFmtId="0" fontId="0" fillId="0" borderId="146" xfId="0" applyBorder="1" applyAlignment="1">
      <alignment/>
    </xf>
    <xf numFmtId="0" fontId="0" fillId="0" borderId="147" xfId="0" applyBorder="1" applyAlignment="1">
      <alignment/>
    </xf>
    <xf numFmtId="38" fontId="26" fillId="0" borderId="14" xfId="49" applyFont="1" applyBorder="1" applyAlignment="1">
      <alignment/>
    </xf>
    <xf numFmtId="38" fontId="7" fillId="0" borderId="14" xfId="49" applyFont="1" applyFill="1" applyBorder="1" applyAlignment="1">
      <alignment/>
    </xf>
    <xf numFmtId="0" fontId="27" fillId="0" borderId="42" xfId="0" applyFont="1" applyBorder="1" applyAlignment="1">
      <alignment horizontal="right"/>
    </xf>
    <xf numFmtId="0" fontId="27" fillId="0" borderId="54" xfId="0" applyFont="1" applyBorder="1" applyAlignment="1">
      <alignment horizontal="right"/>
    </xf>
    <xf numFmtId="0" fontId="6" fillId="45" borderId="14" xfId="0" applyFont="1" applyFill="1" applyBorder="1" applyAlignment="1">
      <alignment horizontal="center" vertical="center"/>
    </xf>
    <xf numFmtId="0" fontId="5" fillId="45" borderId="14" xfId="0" applyFont="1" applyFill="1" applyBorder="1" applyAlignment="1">
      <alignment horizontal="center" vertical="center"/>
    </xf>
    <xf numFmtId="0" fontId="8" fillId="45" borderId="14" xfId="0" applyFont="1" applyFill="1" applyBorder="1" applyAlignment="1">
      <alignment horizontal="center" vertical="center" wrapText="1"/>
    </xf>
    <xf numFmtId="0" fontId="6" fillId="42" borderId="14" xfId="0" applyFont="1" applyFill="1" applyBorder="1" applyAlignment="1">
      <alignment horizontal="center" vertical="center"/>
    </xf>
    <xf numFmtId="0" fontId="5" fillId="42" borderId="19" xfId="0" applyFont="1" applyFill="1" applyBorder="1" applyAlignment="1">
      <alignment horizontal="center" vertical="center"/>
    </xf>
    <xf numFmtId="38" fontId="5" fillId="0" borderId="14" xfId="49" applyFont="1" applyBorder="1" applyAlignment="1">
      <alignment/>
    </xf>
    <xf numFmtId="3" fontId="5" fillId="0" borderId="18" xfId="0" applyNumberFormat="1" applyFont="1" applyBorder="1" applyAlignment="1">
      <alignment/>
    </xf>
    <xf numFmtId="38" fontId="0" fillId="0" borderId="0" xfId="0" applyNumberFormat="1" applyBorder="1" applyAlignment="1">
      <alignment/>
    </xf>
    <xf numFmtId="0" fontId="5" fillId="0" borderId="0" xfId="0" applyFont="1" applyFill="1" applyBorder="1" applyAlignment="1">
      <alignment horizontal="distributed" vertical="center"/>
    </xf>
    <xf numFmtId="38" fontId="5" fillId="0" borderId="14" xfId="0" applyNumberFormat="1" applyFont="1" applyBorder="1" applyAlignment="1">
      <alignment/>
    </xf>
    <xf numFmtId="190" fontId="5" fillId="0" borderId="14" xfId="0" applyNumberFormat="1" applyFont="1" applyBorder="1" applyAlignment="1">
      <alignment/>
    </xf>
    <xf numFmtId="181" fontId="5" fillId="0" borderId="18" xfId="0" applyNumberFormat="1" applyFont="1" applyBorder="1" applyAlignment="1">
      <alignment/>
    </xf>
    <xf numFmtId="0" fontId="5" fillId="0" borderId="0" xfId="0" applyFont="1" applyBorder="1" applyAlignment="1">
      <alignment/>
    </xf>
    <xf numFmtId="209" fontId="5" fillId="0" borderId="0" xfId="0" applyNumberFormat="1" applyFont="1" applyBorder="1" applyAlignment="1">
      <alignment/>
    </xf>
    <xf numFmtId="190" fontId="5" fillId="0" borderId="18" xfId="0" applyNumberFormat="1" applyFont="1" applyBorder="1" applyAlignment="1">
      <alignment/>
    </xf>
    <xf numFmtId="197" fontId="5" fillId="0" borderId="28" xfId="0" applyNumberFormat="1" applyFont="1" applyBorder="1" applyAlignment="1">
      <alignment/>
    </xf>
    <xf numFmtId="197" fontId="5" fillId="0" borderId="19" xfId="0" applyNumberFormat="1" applyFont="1" applyBorder="1" applyAlignment="1">
      <alignment/>
    </xf>
    <xf numFmtId="0" fontId="0" fillId="0" borderId="99" xfId="0" applyBorder="1" applyAlignment="1">
      <alignment/>
    </xf>
    <xf numFmtId="0" fontId="21" fillId="0" borderId="0" xfId="0" applyFont="1" applyAlignment="1">
      <alignment/>
    </xf>
    <xf numFmtId="0" fontId="10" fillId="0" borderId="27" xfId="0" applyFont="1" applyBorder="1" applyAlignment="1">
      <alignment/>
    </xf>
    <xf numFmtId="0" fontId="0" fillId="7" borderId="0" xfId="0" applyFill="1" applyAlignment="1">
      <alignment/>
    </xf>
    <xf numFmtId="0" fontId="0" fillId="0" borderId="0" xfId="0" applyFill="1" applyBorder="1" applyAlignment="1">
      <alignment/>
    </xf>
    <xf numFmtId="0" fontId="0" fillId="0" borderId="16" xfId="0" applyBorder="1" applyAlignment="1">
      <alignment/>
    </xf>
    <xf numFmtId="0" fontId="0" fillId="0" borderId="28" xfId="0" applyBorder="1" applyAlignment="1">
      <alignment/>
    </xf>
    <xf numFmtId="0" fontId="10" fillId="0" borderId="18" xfId="0" applyFont="1" applyBorder="1" applyAlignment="1">
      <alignment/>
    </xf>
    <xf numFmtId="0" fontId="10" fillId="44" borderId="14" xfId="0" applyFont="1" applyFill="1" applyBorder="1" applyAlignment="1">
      <alignment/>
    </xf>
    <xf numFmtId="0" fontId="10" fillId="0" borderId="14" xfId="0" applyFont="1" applyBorder="1" applyAlignment="1">
      <alignment/>
    </xf>
    <xf numFmtId="0" fontId="0" fillId="0" borderId="20" xfId="0" applyBorder="1" applyAlignment="1">
      <alignment horizontal="center"/>
    </xf>
    <xf numFmtId="0" fontId="0" fillId="0" borderId="148" xfId="0" applyBorder="1" applyAlignment="1">
      <alignment horizontal="distributed" vertical="center"/>
    </xf>
    <xf numFmtId="0" fontId="0" fillId="0" borderId="55" xfId="0" applyBorder="1" applyAlignment="1">
      <alignment horizontal="distributed" vertical="center"/>
    </xf>
    <xf numFmtId="0" fontId="0" fillId="0" borderId="136" xfId="0" applyBorder="1" applyAlignment="1">
      <alignment horizontal="right"/>
    </xf>
    <xf numFmtId="0" fontId="0" fillId="0" borderId="42" xfId="0" applyBorder="1" applyAlignment="1">
      <alignment horizontal="right"/>
    </xf>
    <xf numFmtId="0" fontId="0" fillId="0" borderId="77" xfId="0" applyBorder="1" applyAlignment="1">
      <alignment horizontal="right"/>
    </xf>
    <xf numFmtId="211" fontId="0" fillId="0" borderId="14" xfId="0" applyNumberFormat="1" applyFill="1" applyBorder="1" applyAlignment="1">
      <alignment shrinkToFit="1"/>
    </xf>
    <xf numFmtId="38" fontId="0" fillId="0" borderId="0" xfId="49" applyFont="1" applyFill="1" applyBorder="1" applyAlignment="1">
      <alignment shrinkToFit="1"/>
    </xf>
    <xf numFmtId="211" fontId="0" fillId="0" borderId="0" xfId="0" applyNumberFormat="1" applyFill="1" applyBorder="1" applyAlignment="1">
      <alignment shrinkToFit="1"/>
    </xf>
    <xf numFmtId="38" fontId="0" fillId="0" borderId="14" xfId="49" applyFont="1" applyFill="1" applyBorder="1" applyAlignment="1">
      <alignment shrinkToFit="1"/>
    </xf>
    <xf numFmtId="38" fontId="0" fillId="0" borderId="16" xfId="49" applyFont="1" applyFill="1" applyBorder="1" applyAlignment="1">
      <alignment shrinkToFit="1"/>
    </xf>
    <xf numFmtId="0" fontId="10" fillId="0" borderId="0" xfId="0" applyFont="1" applyBorder="1" applyAlignment="1">
      <alignment horizontal="center" vertical="center"/>
    </xf>
    <xf numFmtId="0" fontId="10" fillId="0" borderId="29" xfId="0" applyFont="1" applyBorder="1" applyAlignment="1">
      <alignment/>
    </xf>
    <xf numFmtId="0" fontId="10" fillId="0" borderId="55" xfId="0" applyFont="1" applyBorder="1" applyAlignment="1">
      <alignment horizontal="center" vertical="center"/>
    </xf>
    <xf numFmtId="0" fontId="10" fillId="0" borderId="124" xfId="0" applyFont="1" applyBorder="1" applyAlignment="1">
      <alignment horizontal="center" vertical="center"/>
    </xf>
    <xf numFmtId="211" fontId="0" fillId="0" borderId="18" xfId="49" applyNumberFormat="1" applyFont="1" applyFill="1" applyBorder="1" applyAlignment="1">
      <alignment shrinkToFit="1"/>
    </xf>
    <xf numFmtId="211" fontId="0" fillId="0" borderId="41" xfId="49" applyNumberFormat="1" applyFont="1" applyFill="1" applyBorder="1" applyAlignment="1">
      <alignment shrinkToFit="1"/>
    </xf>
    <xf numFmtId="211" fontId="0" fillId="0" borderId="20" xfId="0" applyNumberFormat="1" applyFill="1" applyBorder="1" applyAlignment="1">
      <alignment shrinkToFit="1"/>
    </xf>
    <xf numFmtId="211" fontId="0" fillId="0" borderId="14" xfId="0" applyNumberFormat="1" applyFill="1" applyBorder="1" applyAlignment="1">
      <alignment horizontal="right" shrinkToFit="1"/>
    </xf>
    <xf numFmtId="38" fontId="0" fillId="0" borderId="14" xfId="49" applyFont="1" applyFill="1" applyBorder="1" applyAlignment="1">
      <alignment horizontal="right" shrinkToFit="1"/>
    </xf>
    <xf numFmtId="211" fontId="0" fillId="0" borderId="20" xfId="0" applyNumberFormat="1" applyFill="1" applyBorder="1" applyAlignment="1">
      <alignment horizontal="right" shrinkToFit="1"/>
    </xf>
    <xf numFmtId="211" fontId="0" fillId="0" borderId="16" xfId="0" applyNumberFormat="1" applyFill="1" applyBorder="1" applyAlignment="1">
      <alignment horizontal="right" shrinkToFit="1"/>
    </xf>
    <xf numFmtId="38" fontId="0" fillId="0" borderId="16" xfId="49" applyFont="1" applyFill="1" applyBorder="1" applyAlignment="1">
      <alignment horizontal="right" shrinkToFit="1"/>
    </xf>
    <xf numFmtId="211" fontId="0" fillId="0" borderId="43" xfId="0" applyNumberFormat="1" applyFill="1" applyBorder="1" applyAlignment="1">
      <alignment horizontal="right" shrinkToFit="1"/>
    </xf>
    <xf numFmtId="0" fontId="10" fillId="44" borderId="29" xfId="0" applyFont="1" applyFill="1" applyBorder="1" applyAlignment="1">
      <alignment/>
    </xf>
    <xf numFmtId="197" fontId="0" fillId="0" borderId="0" xfId="0" applyNumberFormat="1" applyAlignment="1">
      <alignment/>
    </xf>
    <xf numFmtId="0" fontId="21" fillId="0" borderId="42" xfId="0" applyFont="1" applyBorder="1" applyAlignment="1">
      <alignment horizontal="right"/>
    </xf>
    <xf numFmtId="0" fontId="21" fillId="0" borderId="54" xfId="0" applyFont="1" applyBorder="1" applyAlignment="1">
      <alignment horizontal="right"/>
    </xf>
    <xf numFmtId="190" fontId="95" fillId="0" borderId="0" xfId="0" applyNumberFormat="1" applyFont="1" applyAlignment="1">
      <alignment/>
    </xf>
    <xf numFmtId="0" fontId="95" fillId="3" borderId="0" xfId="0" applyFont="1" applyFill="1" applyAlignment="1">
      <alignment/>
    </xf>
    <xf numFmtId="190" fontId="10" fillId="44" borderId="14" xfId="0" applyNumberFormat="1" applyFont="1" applyFill="1" applyBorder="1" applyAlignment="1">
      <alignment/>
    </xf>
    <xf numFmtId="0" fontId="28" fillId="44" borderId="0" xfId="0" applyFont="1" applyFill="1" applyAlignment="1">
      <alignment/>
    </xf>
    <xf numFmtId="181" fontId="5" fillId="0" borderId="18" xfId="0" applyNumberFormat="1" applyFont="1" applyBorder="1" applyAlignment="1">
      <alignment horizontal="right"/>
    </xf>
    <xf numFmtId="0" fontId="21" fillId="45" borderId="42" xfId="0" applyFont="1" applyFill="1" applyBorder="1" applyAlignment="1">
      <alignment horizontal="center" vertical="center" wrapText="1"/>
    </xf>
    <xf numFmtId="0" fontId="21" fillId="45" borderId="18" xfId="0" applyFont="1" applyFill="1" applyBorder="1" applyAlignment="1">
      <alignment horizontal="center" vertical="center"/>
    </xf>
    <xf numFmtId="0" fontId="23" fillId="46" borderId="0" xfId="0" applyFont="1" applyFill="1" applyAlignment="1">
      <alignment horizontal="left" vertical="center" wrapText="1"/>
    </xf>
    <xf numFmtId="0" fontId="95" fillId="0" borderId="0" xfId="0" applyFont="1" applyBorder="1" applyAlignment="1">
      <alignment/>
    </xf>
    <xf numFmtId="0" fontId="29" fillId="0" borderId="51" xfId="0" applyFont="1" applyBorder="1" applyAlignment="1">
      <alignment/>
    </xf>
    <xf numFmtId="0" fontId="30" fillId="0" borderId="51" xfId="0" applyFont="1" applyBorder="1" applyAlignment="1">
      <alignment/>
    </xf>
    <xf numFmtId="0" fontId="22" fillId="45" borderId="18" xfId="0" applyFont="1" applyFill="1" applyBorder="1" applyAlignment="1">
      <alignment horizontal="distributed" vertical="center"/>
    </xf>
    <xf numFmtId="0" fontId="22" fillId="0" borderId="55" xfId="0" applyFont="1" applyBorder="1" applyAlignment="1">
      <alignment horizontal="distributed" vertical="center"/>
    </xf>
    <xf numFmtId="0" fontId="22" fillId="0" borderId="54" xfId="0" applyFont="1" applyBorder="1" applyAlignment="1">
      <alignment horizontal="right"/>
    </xf>
    <xf numFmtId="38" fontId="22" fillId="0" borderId="28" xfId="49" applyFont="1" applyBorder="1" applyAlignment="1">
      <alignment horizontal="right"/>
    </xf>
    <xf numFmtId="0" fontId="22" fillId="0" borderId="28" xfId="42" applyNumberFormat="1" applyFont="1" applyBorder="1" applyAlignment="1">
      <alignment horizontal="right"/>
    </xf>
    <xf numFmtId="185" fontId="22" fillId="0" borderId="28" xfId="0" applyNumberFormat="1" applyFont="1" applyBorder="1" applyAlignment="1">
      <alignment horizontal="right"/>
    </xf>
    <xf numFmtId="0" fontId="22" fillId="0" borderId="124" xfId="0" applyFont="1" applyBorder="1" applyAlignment="1">
      <alignment/>
    </xf>
    <xf numFmtId="38" fontId="22" fillId="47" borderId="28" xfId="49" applyFont="1" applyFill="1" applyBorder="1" applyAlignment="1">
      <alignment/>
    </xf>
    <xf numFmtId="0" fontId="22" fillId="47" borderId="14" xfId="42" applyNumberFormat="1" applyFont="1" applyFill="1" applyBorder="1" applyAlignment="1">
      <alignment horizontal="right"/>
    </xf>
    <xf numFmtId="185" fontId="22" fillId="47" borderId="28" xfId="0" applyNumberFormat="1" applyFont="1" applyFill="1" applyBorder="1" applyAlignment="1">
      <alignment horizontal="right"/>
    </xf>
    <xf numFmtId="0" fontId="22" fillId="0" borderId="48" xfId="0" applyFont="1" applyBorder="1" applyAlignment="1">
      <alignment/>
    </xf>
    <xf numFmtId="0" fontId="22" fillId="0" borderId="42" xfId="0" applyFont="1" applyBorder="1" applyAlignment="1">
      <alignment/>
    </xf>
    <xf numFmtId="0" fontId="22" fillId="0" borderId="14" xfId="0" applyFont="1" applyBorder="1" applyAlignment="1">
      <alignment horizontal="distributed" vertical="center"/>
    </xf>
    <xf numFmtId="0" fontId="22" fillId="0" borderId="14" xfId="42" applyNumberFormat="1" applyFont="1" applyBorder="1" applyAlignment="1">
      <alignment horizontal="right"/>
    </xf>
    <xf numFmtId="0" fontId="22" fillId="0" borderId="142" xfId="0" applyFont="1" applyBorder="1" applyAlignment="1">
      <alignment/>
    </xf>
    <xf numFmtId="0" fontId="22" fillId="0" borderId="0" xfId="0" applyFont="1" applyBorder="1" applyAlignment="1">
      <alignment/>
    </xf>
    <xf numFmtId="185" fontId="22" fillId="47" borderId="19" xfId="0" applyNumberFormat="1" applyFont="1" applyFill="1" applyBorder="1" applyAlignment="1">
      <alignment horizontal="right"/>
    </xf>
    <xf numFmtId="0" fontId="22" fillId="0" borderId="39" xfId="0" applyFont="1" applyBorder="1" applyAlignment="1">
      <alignment/>
    </xf>
    <xf numFmtId="38" fontId="22" fillId="47" borderId="16" xfId="49" applyFont="1" applyFill="1" applyBorder="1" applyAlignment="1">
      <alignment/>
    </xf>
    <xf numFmtId="0" fontId="22" fillId="47" borderId="16" xfId="0" applyNumberFormat="1" applyFont="1" applyFill="1" applyBorder="1" applyAlignment="1">
      <alignment horizontal="right"/>
    </xf>
    <xf numFmtId="185" fontId="22" fillId="47" borderId="128" xfId="0" applyNumberFormat="1" applyFont="1" applyFill="1" applyBorder="1" applyAlignment="1">
      <alignment horizontal="right"/>
    </xf>
    <xf numFmtId="38" fontId="22" fillId="45" borderId="18" xfId="49" applyFont="1" applyFill="1" applyBorder="1" applyAlignment="1">
      <alignment horizontal="distributed" vertical="center"/>
    </xf>
    <xf numFmtId="0" fontId="22" fillId="45" borderId="28" xfId="0" applyFont="1" applyFill="1" applyBorder="1" applyAlignment="1">
      <alignment horizontal="distributed" vertical="center" wrapText="1"/>
    </xf>
    <xf numFmtId="38" fontId="32" fillId="0" borderId="42" xfId="49" applyFont="1" applyBorder="1" applyAlignment="1">
      <alignment horizontal="right"/>
    </xf>
    <xf numFmtId="38" fontId="22" fillId="0" borderId="0" xfId="49" applyFont="1" applyAlignment="1">
      <alignment/>
    </xf>
    <xf numFmtId="197" fontId="22" fillId="0" borderId="18" xfId="42" applyNumberFormat="1" applyFont="1" applyBorder="1" applyAlignment="1">
      <alignment/>
    </xf>
    <xf numFmtId="0" fontId="22" fillId="0" borderId="124" xfId="0" applyFont="1" applyBorder="1" applyAlignment="1">
      <alignment shrinkToFit="1"/>
    </xf>
    <xf numFmtId="38" fontId="22" fillId="44" borderId="14" xfId="49" applyFont="1" applyFill="1" applyBorder="1" applyAlignment="1">
      <alignment/>
    </xf>
    <xf numFmtId="197" fontId="22" fillId="44" borderId="18" xfId="42" applyNumberFormat="1" applyFont="1" applyFill="1" applyBorder="1" applyAlignment="1">
      <alignment/>
    </xf>
    <xf numFmtId="185" fontId="22" fillId="44" borderId="28" xfId="0" applyNumberFormat="1" applyFont="1" applyFill="1" applyBorder="1" applyAlignment="1">
      <alignment horizontal="right"/>
    </xf>
    <xf numFmtId="0" fontId="22" fillId="0" borderId="48" xfId="0" applyFont="1" applyBorder="1" applyAlignment="1">
      <alignment shrinkToFit="1"/>
    </xf>
    <xf numFmtId="0" fontId="22" fillId="0" borderId="42" xfId="0" applyFont="1" applyBorder="1" applyAlignment="1">
      <alignment shrinkToFit="1"/>
    </xf>
    <xf numFmtId="0" fontId="22" fillId="0" borderId="14" xfId="0" applyFont="1" applyBorder="1" applyAlignment="1">
      <alignment horizontal="distributed" vertical="center" shrinkToFit="1"/>
    </xf>
    <xf numFmtId="38" fontId="22" fillId="0" borderId="14" xfId="49" applyFont="1" applyBorder="1" applyAlignment="1">
      <alignment/>
    </xf>
    <xf numFmtId="0" fontId="22" fillId="0" borderId="142" xfId="0" applyFont="1" applyBorder="1" applyAlignment="1">
      <alignment shrinkToFit="1"/>
    </xf>
    <xf numFmtId="0" fontId="22" fillId="0" borderId="18" xfId="0" applyFont="1" applyBorder="1" applyAlignment="1">
      <alignment shrinkToFit="1"/>
    </xf>
    <xf numFmtId="0" fontId="21" fillId="45" borderId="28" xfId="0" applyFont="1" applyFill="1" applyBorder="1" applyAlignment="1">
      <alignment horizontal="center" vertical="center" wrapText="1"/>
    </xf>
    <xf numFmtId="0" fontId="22" fillId="45" borderId="14" xfId="0" applyFont="1" applyFill="1" applyBorder="1" applyAlignment="1">
      <alignment horizontal="center"/>
    </xf>
    <xf numFmtId="0" fontId="22" fillId="0" borderId="42" xfId="0" applyFont="1" applyBorder="1" applyAlignment="1">
      <alignment horizontal="right"/>
    </xf>
    <xf numFmtId="38" fontId="22" fillId="0" borderId="18" xfId="49" applyFont="1" applyBorder="1" applyAlignment="1">
      <alignment/>
    </xf>
    <xf numFmtId="190" fontId="22" fillId="0" borderId="18" xfId="0" applyNumberFormat="1" applyFont="1" applyBorder="1" applyAlignment="1">
      <alignment/>
    </xf>
    <xf numFmtId="190" fontId="22" fillId="0" borderId="28" xfId="0" applyNumberFormat="1" applyFont="1" applyBorder="1" applyAlignment="1">
      <alignment/>
    </xf>
    <xf numFmtId="0" fontId="22" fillId="0" borderId="124" xfId="0" applyFont="1" applyBorder="1" applyAlignment="1">
      <alignment/>
    </xf>
    <xf numFmtId="38" fontId="22" fillId="44" borderId="14" xfId="49" applyFont="1" applyFill="1" applyBorder="1" applyAlignment="1">
      <alignment/>
    </xf>
    <xf numFmtId="190" fontId="22" fillId="44" borderId="14" xfId="0" applyNumberFormat="1" applyFont="1" applyFill="1" applyBorder="1" applyAlignment="1">
      <alignment/>
    </xf>
    <xf numFmtId="190" fontId="22" fillId="44" borderId="19" xfId="0" applyNumberFormat="1" applyFont="1" applyFill="1" applyBorder="1" applyAlignment="1">
      <alignment/>
    </xf>
    <xf numFmtId="0" fontId="22" fillId="0" borderId="48" xfId="0" applyFont="1" applyBorder="1" applyAlignment="1">
      <alignment/>
    </xf>
    <xf numFmtId="38" fontId="22" fillId="0" borderId="14" xfId="49" applyFont="1" applyBorder="1" applyAlignment="1">
      <alignment/>
    </xf>
    <xf numFmtId="190" fontId="22" fillId="0" borderId="14" xfId="0" applyNumberFormat="1" applyFont="1" applyBorder="1" applyAlignment="1">
      <alignment/>
    </xf>
    <xf numFmtId="38" fontId="22" fillId="0" borderId="14" xfId="49" applyFont="1" applyFill="1" applyBorder="1" applyAlignment="1">
      <alignment/>
    </xf>
    <xf numFmtId="190" fontId="22" fillId="0" borderId="19" xfId="0" applyNumberFormat="1" applyFont="1" applyBorder="1" applyAlignment="1">
      <alignment/>
    </xf>
    <xf numFmtId="0" fontId="21" fillId="0" borderId="124" xfId="0" applyFont="1" applyBorder="1" applyAlignment="1">
      <alignment/>
    </xf>
    <xf numFmtId="0" fontId="21" fillId="0" borderId="48" xfId="0" applyFont="1" applyBorder="1" applyAlignment="1">
      <alignment/>
    </xf>
    <xf numFmtId="0" fontId="22" fillId="48" borderId="48" xfId="0" applyFont="1" applyFill="1" applyBorder="1" applyAlignment="1">
      <alignment horizontal="right"/>
    </xf>
    <xf numFmtId="0" fontId="22" fillId="48" borderId="48" xfId="0" applyFont="1" applyFill="1" applyBorder="1" applyAlignment="1">
      <alignment/>
    </xf>
    <xf numFmtId="0" fontId="22" fillId="48" borderId="0" xfId="0" applyFont="1" applyFill="1" applyBorder="1" applyAlignment="1">
      <alignment horizontal="right"/>
    </xf>
    <xf numFmtId="177" fontId="22" fillId="48" borderId="27" xfId="49" applyNumberFormat="1" applyFont="1" applyFill="1" applyBorder="1" applyAlignment="1">
      <alignment horizontal="right"/>
    </xf>
    <xf numFmtId="177" fontId="22" fillId="48" borderId="27" xfId="0" applyNumberFormat="1" applyFont="1" applyFill="1" applyBorder="1" applyAlignment="1">
      <alignment/>
    </xf>
    <xf numFmtId="181" fontId="22" fillId="48" borderId="65" xfId="0" applyNumberFormat="1" applyFont="1" applyFill="1" applyBorder="1" applyAlignment="1">
      <alignment/>
    </xf>
    <xf numFmtId="177" fontId="22" fillId="0" borderId="14" xfId="49" applyNumberFormat="1" applyFont="1" applyBorder="1" applyAlignment="1">
      <alignment horizontal="right"/>
    </xf>
    <xf numFmtId="177" fontId="22" fillId="0" borderId="14" xfId="0" applyNumberFormat="1" applyFont="1" applyBorder="1" applyAlignment="1">
      <alignment/>
    </xf>
    <xf numFmtId="181" fontId="22" fillId="0" borderId="19" xfId="0" applyNumberFormat="1" applyFont="1" applyBorder="1" applyAlignment="1">
      <alignment/>
    </xf>
    <xf numFmtId="0" fontId="22" fillId="0" borderId="0" xfId="0" applyFont="1" applyBorder="1" applyAlignment="1">
      <alignment/>
    </xf>
    <xf numFmtId="0" fontId="22" fillId="0" borderId="27" xfId="0" applyFont="1" applyBorder="1" applyAlignment="1">
      <alignment/>
    </xf>
    <xf numFmtId="177" fontId="22" fillId="48" borderId="14" xfId="0" applyNumberFormat="1" applyFont="1" applyFill="1" applyBorder="1" applyAlignment="1">
      <alignment/>
    </xf>
    <xf numFmtId="181" fontId="22" fillId="48" borderId="19" xfId="0" applyNumberFormat="1" applyFont="1" applyFill="1" applyBorder="1" applyAlignment="1">
      <alignment/>
    </xf>
    <xf numFmtId="190" fontId="21" fillId="0" borderId="18" xfId="0" applyNumberFormat="1" applyFont="1" applyBorder="1" applyAlignment="1">
      <alignment/>
    </xf>
    <xf numFmtId="0" fontId="21" fillId="0" borderId="18" xfId="0" applyFont="1" applyBorder="1" applyAlignment="1">
      <alignment/>
    </xf>
    <xf numFmtId="0" fontId="21" fillId="44" borderId="29" xfId="0" applyFont="1" applyFill="1" applyBorder="1" applyAlignment="1">
      <alignment/>
    </xf>
    <xf numFmtId="0" fontId="21" fillId="44" borderId="14" xfId="0" applyFont="1" applyFill="1" applyBorder="1" applyAlignment="1">
      <alignment/>
    </xf>
    <xf numFmtId="0" fontId="21" fillId="0" borderId="14" xfId="0" applyFont="1" applyBorder="1" applyAlignment="1">
      <alignment/>
    </xf>
    <xf numFmtId="0" fontId="21" fillId="45" borderId="27" xfId="0" applyFont="1" applyFill="1" applyBorder="1" applyAlignment="1">
      <alignment horizontal="center" vertical="center" wrapText="1"/>
    </xf>
    <xf numFmtId="0" fontId="23" fillId="0" borderId="42" xfId="0" applyFont="1" applyBorder="1" applyAlignment="1">
      <alignment horizontal="right"/>
    </xf>
    <xf numFmtId="0" fontId="23" fillId="0" borderId="54" xfId="0" applyFont="1" applyBorder="1" applyAlignment="1">
      <alignment horizontal="right"/>
    </xf>
    <xf numFmtId="0" fontId="33" fillId="0" borderId="0" xfId="0" applyFont="1" applyAlignment="1">
      <alignment/>
    </xf>
    <xf numFmtId="0" fontId="21" fillId="44" borderId="31" xfId="0" applyFont="1" applyFill="1" applyBorder="1" applyAlignment="1">
      <alignment/>
    </xf>
    <xf numFmtId="177" fontId="22" fillId="49" borderId="14" xfId="49" applyNumberFormat="1" applyFont="1" applyFill="1" applyBorder="1" applyAlignment="1">
      <alignment horizontal="right"/>
    </xf>
    <xf numFmtId="0" fontId="21" fillId="0" borderId="42" xfId="0" applyFont="1" applyBorder="1" applyAlignment="1">
      <alignment/>
    </xf>
    <xf numFmtId="38" fontId="21" fillId="0" borderId="18" xfId="49" applyFont="1" applyBorder="1" applyAlignment="1">
      <alignment/>
    </xf>
    <xf numFmtId="0" fontId="21" fillId="0" borderId="18" xfId="0" applyFont="1" applyBorder="1" applyAlignment="1">
      <alignment horizontal="right"/>
    </xf>
    <xf numFmtId="210" fontId="21" fillId="0" borderId="28" xfId="0" applyNumberFormat="1" applyFont="1" applyBorder="1" applyAlignment="1">
      <alignment horizontal="right"/>
    </xf>
    <xf numFmtId="38" fontId="21" fillId="44" borderId="14" xfId="49" applyFont="1" applyFill="1" applyBorder="1" applyAlignment="1">
      <alignment/>
    </xf>
    <xf numFmtId="187" fontId="21" fillId="44" borderId="14" xfId="0" applyNumberFormat="1" applyFont="1" applyFill="1" applyBorder="1" applyAlignment="1">
      <alignment/>
    </xf>
    <xf numFmtId="38" fontId="21" fillId="0" borderId="14" xfId="49" applyFont="1" applyBorder="1" applyAlignment="1">
      <alignment/>
    </xf>
    <xf numFmtId="187" fontId="21" fillId="0" borderId="14" xfId="0" applyNumberFormat="1" applyFont="1" applyBorder="1" applyAlignment="1">
      <alignment/>
    </xf>
    <xf numFmtId="0" fontId="21" fillId="0" borderId="142" xfId="0" applyFont="1" applyBorder="1" applyAlignment="1">
      <alignment/>
    </xf>
    <xf numFmtId="0" fontId="23" fillId="0" borderId="124" xfId="0" applyFont="1" applyBorder="1" applyAlignment="1">
      <alignment shrinkToFit="1"/>
    </xf>
    <xf numFmtId="0" fontId="23" fillId="0" borderId="48" xfId="0" applyFont="1" applyBorder="1" applyAlignment="1">
      <alignment shrinkToFit="1"/>
    </xf>
    <xf numFmtId="0" fontId="23" fillId="0" borderId="42" xfId="0" applyFont="1" applyBorder="1" applyAlignment="1">
      <alignment shrinkToFit="1"/>
    </xf>
    <xf numFmtId="0" fontId="23" fillId="0" borderId="142" xfId="0" applyFont="1" applyBorder="1" applyAlignment="1">
      <alignment shrinkToFit="1"/>
    </xf>
    <xf numFmtId="0" fontId="23" fillId="0" borderId="0" xfId="0" applyFont="1" applyBorder="1" applyAlignment="1">
      <alignment shrinkToFit="1"/>
    </xf>
    <xf numFmtId="0" fontId="23" fillId="0" borderId="136" xfId="0" applyFont="1" applyBorder="1" applyAlignment="1">
      <alignment shrinkToFit="1"/>
    </xf>
    <xf numFmtId="0" fontId="23" fillId="0" borderId="14" xfId="0" applyFont="1" applyBorder="1" applyAlignment="1">
      <alignment horizontal="center" shrinkToFit="1"/>
    </xf>
    <xf numFmtId="0" fontId="23" fillId="0" borderId="18" xfId="0" applyFont="1" applyBorder="1" applyAlignment="1">
      <alignment shrinkToFit="1"/>
    </xf>
    <xf numFmtId="0" fontId="96" fillId="0" borderId="0" xfId="0" applyFont="1" applyBorder="1" applyAlignment="1">
      <alignment/>
    </xf>
    <xf numFmtId="0" fontId="96" fillId="0" borderId="149" xfId="0" applyFont="1" applyBorder="1" applyAlignment="1">
      <alignment/>
    </xf>
    <xf numFmtId="0" fontId="0" fillId="0" borderId="149" xfId="0" applyBorder="1" applyAlignment="1">
      <alignment/>
    </xf>
    <xf numFmtId="38" fontId="21" fillId="44" borderId="150" xfId="49" applyFont="1" applyFill="1" applyBorder="1" applyAlignment="1">
      <alignment/>
    </xf>
    <xf numFmtId="187" fontId="21" fillId="44" borderId="150" xfId="0" applyNumberFormat="1" applyFont="1" applyFill="1" applyBorder="1" applyAlignment="1">
      <alignment/>
    </xf>
    <xf numFmtId="0" fontId="21" fillId="44" borderId="150" xfId="0" applyFont="1" applyFill="1" applyBorder="1" applyAlignment="1">
      <alignment/>
    </xf>
    <xf numFmtId="210" fontId="21" fillId="0" borderId="151" xfId="0" applyNumberFormat="1" applyFont="1" applyBorder="1" applyAlignment="1">
      <alignment horizontal="right"/>
    </xf>
    <xf numFmtId="0" fontId="23" fillId="0" borderId="152" xfId="0" applyFont="1" applyBorder="1" applyAlignment="1">
      <alignment shrinkToFit="1"/>
    </xf>
    <xf numFmtId="0" fontId="21" fillId="0" borderId="152" xfId="0" applyFont="1" applyBorder="1" applyAlignment="1">
      <alignment/>
    </xf>
    <xf numFmtId="0" fontId="21" fillId="0" borderId="14" xfId="0" applyFont="1" applyBorder="1" applyAlignment="1">
      <alignment horizontal="left" vertical="center"/>
    </xf>
    <xf numFmtId="0" fontId="21" fillId="0" borderId="14" xfId="0" applyFont="1" applyBorder="1" applyAlignment="1">
      <alignment horizontal="left"/>
    </xf>
    <xf numFmtId="0" fontId="21" fillId="45" borderId="153" xfId="0" applyFont="1" applyFill="1" applyBorder="1" applyAlignment="1">
      <alignment horizontal="center"/>
    </xf>
    <xf numFmtId="0" fontId="21" fillId="0" borderId="124" xfId="0" applyFont="1" applyBorder="1" applyAlignment="1">
      <alignment horizontal="right"/>
    </xf>
    <xf numFmtId="211" fontId="21" fillId="0" borderId="27" xfId="49" applyNumberFormat="1" applyFont="1" applyBorder="1" applyAlignment="1">
      <alignment horizontal="right" shrinkToFit="1"/>
    </xf>
    <xf numFmtId="211" fontId="21" fillId="44" borderId="27" xfId="49" applyNumberFormat="1" applyFont="1" applyFill="1" applyBorder="1" applyAlignment="1">
      <alignment horizontal="right" shrinkToFit="1"/>
    </xf>
    <xf numFmtId="211" fontId="21" fillId="44" borderId="152" xfId="49" applyNumberFormat="1" applyFont="1" applyFill="1" applyBorder="1" applyAlignment="1">
      <alignment horizontal="right" shrinkToFit="1"/>
    </xf>
    <xf numFmtId="0" fontId="21" fillId="0" borderId="154" xfId="0" applyFont="1" applyBorder="1" applyAlignment="1">
      <alignment horizontal="right"/>
    </xf>
    <xf numFmtId="38" fontId="21" fillId="0" borderId="155" xfId="49" applyFont="1" applyBorder="1" applyAlignment="1">
      <alignment shrinkToFit="1"/>
    </xf>
    <xf numFmtId="38" fontId="21" fillId="44" borderId="156" xfId="49" applyFont="1" applyFill="1" applyBorder="1" applyAlignment="1">
      <alignment shrinkToFit="1"/>
    </xf>
    <xf numFmtId="38" fontId="21" fillId="0" borderId="156" xfId="49" applyFont="1" applyFill="1" applyBorder="1" applyAlignment="1">
      <alignment shrinkToFit="1"/>
    </xf>
    <xf numFmtId="38" fontId="21" fillId="44" borderId="157" xfId="49" applyFont="1" applyFill="1" applyBorder="1" applyAlignment="1">
      <alignment shrinkToFit="1"/>
    </xf>
    <xf numFmtId="211" fontId="21" fillId="44" borderId="29" xfId="0" applyNumberFormat="1" applyFont="1" applyFill="1" applyBorder="1" applyAlignment="1">
      <alignment shrinkToFit="1"/>
    </xf>
    <xf numFmtId="211" fontId="21" fillId="0" borderId="29" xfId="0" applyNumberFormat="1" applyFont="1" applyFill="1" applyBorder="1" applyAlignment="1">
      <alignment shrinkToFit="1"/>
    </xf>
    <xf numFmtId="211" fontId="21" fillId="44" borderId="158" xfId="0" applyNumberFormat="1" applyFont="1" applyFill="1" applyBorder="1" applyAlignment="1">
      <alignment shrinkToFit="1"/>
    </xf>
    <xf numFmtId="0" fontId="21" fillId="45" borderId="159" xfId="0" applyFont="1" applyFill="1" applyBorder="1" applyAlignment="1">
      <alignment horizontal="center"/>
    </xf>
    <xf numFmtId="0" fontId="21" fillId="0" borderId="55" xfId="0" applyFont="1" applyBorder="1" applyAlignment="1">
      <alignment horizontal="right"/>
    </xf>
    <xf numFmtId="211" fontId="21" fillId="0" borderId="65" xfId="49" applyNumberFormat="1" applyFont="1" applyBorder="1" applyAlignment="1">
      <alignment horizontal="right" shrinkToFit="1"/>
    </xf>
    <xf numFmtId="211" fontId="21" fillId="44" borderId="31" xfId="0" applyNumberFormat="1" applyFont="1" applyFill="1" applyBorder="1" applyAlignment="1">
      <alignment horizontal="right" shrinkToFit="1"/>
    </xf>
    <xf numFmtId="211" fontId="21" fillId="0" borderId="31" xfId="0" applyNumberFormat="1" applyFont="1" applyBorder="1" applyAlignment="1">
      <alignment horizontal="right" shrinkToFit="1"/>
    </xf>
    <xf numFmtId="211" fontId="21" fillId="44" borderId="160" xfId="0" applyNumberFormat="1" applyFont="1" applyFill="1" applyBorder="1" applyAlignment="1">
      <alignment horizontal="right" shrinkToFit="1"/>
    </xf>
    <xf numFmtId="0" fontId="21" fillId="45" borderId="155" xfId="0" applyFont="1" applyFill="1" applyBorder="1" applyAlignment="1">
      <alignment/>
    </xf>
    <xf numFmtId="0" fontId="21" fillId="45" borderId="155" xfId="0" applyFont="1" applyFill="1" applyBorder="1" applyAlignment="1">
      <alignment horizontal="center"/>
    </xf>
    <xf numFmtId="0" fontId="22" fillId="0" borderId="152" xfId="0" applyFont="1" applyBorder="1" applyAlignment="1">
      <alignment/>
    </xf>
    <xf numFmtId="38" fontId="22" fillId="44" borderId="150" xfId="49" applyFont="1" applyFill="1" applyBorder="1" applyAlignment="1">
      <alignment/>
    </xf>
    <xf numFmtId="190" fontId="22" fillId="44" borderId="150" xfId="0" applyNumberFormat="1" applyFont="1" applyFill="1" applyBorder="1" applyAlignment="1">
      <alignment/>
    </xf>
    <xf numFmtId="190" fontId="22" fillId="44" borderId="151" xfId="0" applyNumberFormat="1" applyFont="1" applyFill="1" applyBorder="1" applyAlignment="1">
      <alignment/>
    </xf>
    <xf numFmtId="0" fontId="23" fillId="46" borderId="0" xfId="0" applyFont="1" applyFill="1" applyBorder="1" applyAlignment="1">
      <alignment horizontal="left" vertical="center"/>
    </xf>
    <xf numFmtId="0" fontId="0" fillId="0" borderId="0" xfId="0" applyAlignment="1">
      <alignment horizontal="left"/>
    </xf>
    <xf numFmtId="0" fontId="95" fillId="0" borderId="149" xfId="0" applyFont="1" applyBorder="1" applyAlignment="1">
      <alignment/>
    </xf>
    <xf numFmtId="0" fontId="21" fillId="45" borderId="42" xfId="0" applyFont="1" applyFill="1" applyBorder="1" applyAlignment="1">
      <alignment horizontal="center" vertical="center"/>
    </xf>
    <xf numFmtId="0" fontId="21" fillId="50" borderId="42" xfId="0" applyFont="1" applyFill="1" applyBorder="1" applyAlignment="1">
      <alignment horizontal="center" vertical="center"/>
    </xf>
    <xf numFmtId="0" fontId="21" fillId="45" borderId="48" xfId="0" applyFont="1" applyFill="1" applyBorder="1" applyAlignment="1">
      <alignment/>
    </xf>
    <xf numFmtId="0" fontId="21" fillId="45" borderId="48" xfId="0" applyFont="1" applyFill="1" applyBorder="1" applyAlignment="1">
      <alignment horizontal="left"/>
    </xf>
    <xf numFmtId="0" fontId="21" fillId="45" borderId="48" xfId="0" applyFont="1" applyFill="1" applyBorder="1" applyAlignment="1">
      <alignment horizontal="right"/>
    </xf>
    <xf numFmtId="0" fontId="21" fillId="0" borderId="29" xfId="0" applyFont="1" applyFill="1" applyBorder="1" applyAlignment="1">
      <alignment horizontal="right"/>
    </xf>
    <xf numFmtId="0" fontId="34" fillId="0" borderId="158" xfId="0" applyFont="1" applyFill="1" applyBorder="1" applyAlignment="1">
      <alignment horizontal="right"/>
    </xf>
    <xf numFmtId="38" fontId="21" fillId="0" borderId="14" xfId="49" applyFont="1" applyFill="1" applyBorder="1" applyAlignment="1">
      <alignment/>
    </xf>
    <xf numFmtId="38" fontId="34" fillId="0" borderId="150" xfId="49" applyFont="1" applyFill="1" applyBorder="1" applyAlignment="1">
      <alignment/>
    </xf>
    <xf numFmtId="185" fontId="21" fillId="0" borderId="14" xfId="0" applyNumberFormat="1" applyFont="1" applyFill="1" applyBorder="1" applyAlignment="1">
      <alignment/>
    </xf>
    <xf numFmtId="185" fontId="34" fillId="0" borderId="150" xfId="0" applyNumberFormat="1" applyFont="1" applyFill="1" applyBorder="1" applyAlignment="1">
      <alignment/>
    </xf>
    <xf numFmtId="185" fontId="21" fillId="0" borderId="19" xfId="0" applyNumberFormat="1" applyFont="1" applyFill="1" applyBorder="1" applyAlignment="1">
      <alignment/>
    </xf>
    <xf numFmtId="190" fontId="34" fillId="0" borderId="151" xfId="0" applyNumberFormat="1" applyFont="1" applyFill="1" applyBorder="1" applyAlignment="1">
      <alignment/>
    </xf>
    <xf numFmtId="0" fontId="35" fillId="0" borderId="0" xfId="0" applyFont="1" applyAlignment="1">
      <alignment/>
    </xf>
    <xf numFmtId="0" fontId="21" fillId="50" borderId="54" xfId="0" applyFont="1" applyFill="1" applyBorder="1" applyAlignment="1">
      <alignment horizontal="center" vertical="center" wrapText="1"/>
    </xf>
    <xf numFmtId="0" fontId="35" fillId="0" borderId="0" xfId="0" applyFont="1" applyBorder="1" applyAlignment="1">
      <alignment/>
    </xf>
    <xf numFmtId="0" fontId="21" fillId="45" borderId="142" xfId="0" applyFont="1" applyFill="1" applyBorder="1" applyAlignment="1">
      <alignment horizontal="center"/>
    </xf>
    <xf numFmtId="0" fontId="21" fillId="50" borderId="142" xfId="0" applyFont="1" applyFill="1" applyBorder="1" applyAlignment="1">
      <alignment horizontal="center"/>
    </xf>
    <xf numFmtId="0" fontId="21" fillId="50" borderId="136" xfId="0" applyFont="1" applyFill="1" applyBorder="1" applyAlignment="1">
      <alignment horizontal="center"/>
    </xf>
    <xf numFmtId="0" fontId="5" fillId="45" borderId="0" xfId="0" applyFont="1" applyFill="1" applyBorder="1" applyAlignment="1">
      <alignment horizontal="left"/>
    </xf>
    <xf numFmtId="0" fontId="5" fillId="45" borderId="48" xfId="0" applyFont="1" applyFill="1" applyBorder="1" applyAlignment="1">
      <alignment horizontal="left"/>
    </xf>
    <xf numFmtId="0" fontId="5" fillId="45" borderId="51" xfId="0" applyFont="1" applyFill="1" applyBorder="1" applyAlignment="1">
      <alignment horizontal="left" vertical="top"/>
    </xf>
    <xf numFmtId="0" fontId="5" fillId="45" borderId="39" xfId="0" applyFont="1" applyFill="1" applyBorder="1" applyAlignment="1">
      <alignment horizontal="left"/>
    </xf>
    <xf numFmtId="38" fontId="8" fillId="50" borderId="16" xfId="49" applyFont="1" applyFill="1" applyBorder="1" applyAlignment="1">
      <alignment horizontal="distributed" vertical="center"/>
    </xf>
    <xf numFmtId="38" fontId="5" fillId="0" borderId="57" xfId="49" applyFont="1" applyBorder="1" applyAlignment="1">
      <alignment horizontal="right" vertical="center"/>
    </xf>
    <xf numFmtId="38" fontId="5" fillId="0" borderId="57" xfId="49" applyFont="1" applyFill="1" applyBorder="1" applyAlignment="1">
      <alignment horizontal="right" vertical="center"/>
    </xf>
    <xf numFmtId="38" fontId="5" fillId="0" borderId="44" xfId="49" applyFont="1" applyBorder="1" applyAlignment="1">
      <alignment horizontal="right" vertical="center"/>
    </xf>
    <xf numFmtId="181" fontId="5" fillId="0" borderId="18" xfId="49" applyNumberFormat="1" applyFont="1" applyBorder="1" applyAlignment="1">
      <alignment horizontal="right"/>
    </xf>
    <xf numFmtId="181" fontId="5" fillId="0" borderId="28" xfId="49" applyNumberFormat="1" applyFont="1" applyBorder="1" applyAlignment="1">
      <alignment horizontal="right"/>
    </xf>
    <xf numFmtId="181" fontId="5" fillId="47" borderId="14" xfId="49" applyNumberFormat="1" applyFont="1" applyFill="1" applyBorder="1" applyAlignment="1">
      <alignment horizontal="right"/>
    </xf>
    <xf numFmtId="181" fontId="5" fillId="47" borderId="19" xfId="49" applyNumberFormat="1" applyFont="1" applyFill="1" applyBorder="1" applyAlignment="1">
      <alignment horizontal="right"/>
    </xf>
    <xf numFmtId="0" fontId="5" fillId="0" borderId="124" xfId="0" applyFont="1" applyBorder="1" applyAlignment="1">
      <alignment/>
    </xf>
    <xf numFmtId="181" fontId="5" fillId="0" borderId="14" xfId="49" applyNumberFormat="1" applyFont="1" applyFill="1" applyBorder="1" applyAlignment="1">
      <alignment horizontal="right"/>
    </xf>
    <xf numFmtId="181" fontId="5" fillId="0" borderId="14" xfId="49" applyNumberFormat="1" applyFont="1" applyBorder="1" applyAlignment="1">
      <alignment horizontal="right"/>
    </xf>
    <xf numFmtId="181" fontId="5" fillId="0" borderId="19" xfId="49" applyNumberFormat="1" applyFont="1" applyBorder="1" applyAlignment="1">
      <alignment horizontal="right"/>
    </xf>
    <xf numFmtId="0" fontId="5" fillId="0" borderId="48" xfId="0" applyFont="1" applyBorder="1" applyAlignment="1">
      <alignment/>
    </xf>
    <xf numFmtId="0" fontId="5" fillId="0" borderId="27" xfId="0" applyFont="1" applyBorder="1" applyAlignment="1">
      <alignment/>
    </xf>
    <xf numFmtId="181" fontId="5" fillId="0" borderId="19" xfId="49" applyNumberFormat="1" applyFont="1" applyFill="1" applyBorder="1" applyAlignment="1">
      <alignment horizontal="right"/>
    </xf>
    <xf numFmtId="181" fontId="5" fillId="47" borderId="42" xfId="49" applyNumberFormat="1" applyFont="1" applyFill="1" applyBorder="1" applyAlignment="1">
      <alignment horizontal="right"/>
    </xf>
    <xf numFmtId="181" fontId="5" fillId="47" borderId="54" xfId="49" applyNumberFormat="1" applyFont="1" applyFill="1" applyBorder="1" applyAlignment="1">
      <alignment horizontal="right"/>
    </xf>
    <xf numFmtId="181" fontId="5" fillId="0" borderId="42" xfId="49" applyNumberFormat="1" applyFont="1" applyBorder="1" applyAlignment="1">
      <alignment horizontal="right"/>
    </xf>
    <xf numFmtId="0" fontId="5" fillId="45" borderId="48" xfId="0" applyFont="1" applyFill="1" applyBorder="1" applyAlignment="1">
      <alignment horizontal="right"/>
    </xf>
    <xf numFmtId="181" fontId="5" fillId="0" borderId="150" xfId="49" applyNumberFormat="1" applyFont="1" applyBorder="1" applyAlignment="1">
      <alignment horizontal="right"/>
    </xf>
    <xf numFmtId="181" fontId="5" fillId="0" borderId="151" xfId="49" applyNumberFormat="1" applyFont="1" applyBorder="1" applyAlignment="1">
      <alignment horizontal="right"/>
    </xf>
    <xf numFmtId="0" fontId="5" fillId="0" borderId="150" xfId="0" applyFont="1" applyBorder="1" applyAlignment="1">
      <alignment horizontal="distributed" vertical="center"/>
    </xf>
    <xf numFmtId="38" fontId="5" fillId="0" borderId="150" xfId="49" applyFont="1" applyBorder="1" applyAlignment="1">
      <alignment/>
    </xf>
    <xf numFmtId="38" fontId="5" fillId="0" borderId="150" xfId="0" applyNumberFormat="1" applyFont="1" applyBorder="1" applyAlignment="1">
      <alignment/>
    </xf>
    <xf numFmtId="181" fontId="5" fillId="0" borderId="150" xfId="0" applyNumberFormat="1" applyFont="1" applyBorder="1" applyAlignment="1">
      <alignment/>
    </xf>
    <xf numFmtId="190" fontId="5" fillId="0" borderId="150" xfId="0" applyNumberFormat="1" applyFont="1" applyBorder="1" applyAlignment="1">
      <alignment/>
    </xf>
    <xf numFmtId="197" fontId="5" fillId="0" borderId="151" xfId="0" applyNumberFormat="1" applyFont="1" applyBorder="1" applyAlignment="1">
      <alignment/>
    </xf>
    <xf numFmtId="0" fontId="21" fillId="44" borderId="158" xfId="0" applyFont="1" applyFill="1" applyBorder="1" applyAlignment="1">
      <alignment/>
    </xf>
    <xf numFmtId="0" fontId="22" fillId="45" borderId="161" xfId="0" applyFont="1" applyFill="1" applyBorder="1" applyAlignment="1">
      <alignment horizontal="center" vertical="center" wrapText="1"/>
    </xf>
    <xf numFmtId="0" fontId="21" fillId="45" borderId="162" xfId="0" applyFont="1" applyFill="1" applyBorder="1" applyAlignment="1">
      <alignment horizontal="center" vertical="center"/>
    </xf>
    <xf numFmtId="0" fontId="23" fillId="45" borderId="65" xfId="0" applyFont="1" applyFill="1" applyBorder="1" applyAlignment="1">
      <alignment horizontal="center" vertical="center" wrapText="1"/>
    </xf>
    <xf numFmtId="177" fontId="22" fillId="49" borderId="150" xfId="49" applyNumberFormat="1" applyFont="1" applyFill="1" applyBorder="1" applyAlignment="1">
      <alignment horizontal="right"/>
    </xf>
    <xf numFmtId="177" fontId="22" fillId="48" borderId="158" xfId="0" applyNumberFormat="1" applyFont="1" applyFill="1" applyBorder="1" applyAlignment="1">
      <alignment/>
    </xf>
    <xf numFmtId="181" fontId="22" fillId="48" borderId="160" xfId="0" applyNumberFormat="1" applyFont="1" applyFill="1" applyBorder="1" applyAlignment="1">
      <alignment/>
    </xf>
    <xf numFmtId="0" fontId="21" fillId="45" borderId="28" xfId="0" applyFont="1" applyFill="1" applyBorder="1" applyAlignment="1">
      <alignment shrinkToFit="1"/>
    </xf>
    <xf numFmtId="0" fontId="21" fillId="45" borderId="163" xfId="0" applyFont="1" applyFill="1" applyBorder="1" applyAlignment="1">
      <alignment shrinkToFit="1"/>
    </xf>
    <xf numFmtId="0" fontId="21" fillId="45" borderId="47" xfId="0" applyFont="1" applyFill="1" applyBorder="1" applyAlignment="1">
      <alignment shrinkToFit="1"/>
    </xf>
    <xf numFmtId="0" fontId="21" fillId="45" borderId="29" xfId="0" applyFont="1" applyFill="1" applyBorder="1" applyAlignment="1">
      <alignment shrinkToFit="1"/>
    </xf>
    <xf numFmtId="0" fontId="21" fillId="45" borderId="31" xfId="0" applyFont="1" applyFill="1" applyBorder="1" applyAlignment="1">
      <alignment shrinkToFit="1"/>
    </xf>
    <xf numFmtId="0" fontId="21" fillId="0" borderId="29" xfId="0" applyFont="1" applyBorder="1" applyAlignment="1">
      <alignment horizontal="distributed" vertical="center" shrinkToFit="1"/>
    </xf>
    <xf numFmtId="0" fontId="21" fillId="0" borderId="106" xfId="0" applyFont="1" applyBorder="1" applyAlignment="1">
      <alignment horizontal="right" shrinkToFit="1"/>
    </xf>
    <xf numFmtId="0" fontId="21" fillId="0" borderId="124" xfId="0" applyFont="1" applyBorder="1" applyAlignment="1">
      <alignment horizontal="right" shrinkToFit="1"/>
    </xf>
    <xf numFmtId="0" fontId="21" fillId="0" borderId="55" xfId="0" applyFont="1" applyBorder="1" applyAlignment="1">
      <alignment horizontal="right" shrinkToFit="1"/>
    </xf>
    <xf numFmtId="38" fontId="21" fillId="0" borderId="164" xfId="49" applyFont="1" applyBorder="1" applyAlignment="1">
      <alignment shrinkToFit="1"/>
    </xf>
    <xf numFmtId="190" fontId="21" fillId="0" borderId="27" xfId="0" applyNumberFormat="1" applyFont="1" applyBorder="1" applyAlignment="1">
      <alignment shrinkToFit="1"/>
    </xf>
    <xf numFmtId="38" fontId="21" fillId="0" borderId="164" xfId="0" applyNumberFormat="1" applyFont="1" applyBorder="1" applyAlignment="1">
      <alignment shrinkToFit="1"/>
    </xf>
    <xf numFmtId="197" fontId="21" fillId="0" borderId="27" xfId="0" applyNumberFormat="1" applyFont="1" applyBorder="1" applyAlignment="1">
      <alignment shrinkToFit="1"/>
    </xf>
    <xf numFmtId="0" fontId="21" fillId="0" borderId="164" xfId="0" applyFont="1" applyBorder="1" applyAlignment="1">
      <alignment shrinkToFit="1"/>
    </xf>
    <xf numFmtId="197" fontId="21" fillId="0" borderId="65" xfId="0" applyNumberFormat="1" applyFont="1" applyBorder="1" applyAlignment="1">
      <alignment horizontal="center" vertical="center" shrinkToFit="1"/>
    </xf>
    <xf numFmtId="0" fontId="21" fillId="0" borderId="124" xfId="0" applyFont="1" applyBorder="1" applyAlignment="1">
      <alignment shrinkToFit="1"/>
    </xf>
    <xf numFmtId="38" fontId="21" fillId="0" borderId="47" xfId="49" applyFont="1" applyBorder="1" applyAlignment="1">
      <alignment shrinkToFit="1"/>
    </xf>
    <xf numFmtId="0" fontId="21" fillId="0" borderId="47" xfId="0" applyFont="1" applyBorder="1" applyAlignment="1">
      <alignment shrinkToFit="1"/>
    </xf>
    <xf numFmtId="0" fontId="21" fillId="0" borderId="48" xfId="0" applyFont="1" applyBorder="1" applyAlignment="1">
      <alignment shrinkToFit="1"/>
    </xf>
    <xf numFmtId="197" fontId="21" fillId="0" borderId="29" xfId="0" applyNumberFormat="1" applyFont="1" applyBorder="1" applyAlignment="1">
      <alignment shrinkToFit="1"/>
    </xf>
    <xf numFmtId="38" fontId="21" fillId="0" borderId="47" xfId="49" applyFont="1" applyFill="1" applyBorder="1" applyAlignment="1">
      <alignment shrinkToFit="1"/>
    </xf>
    <xf numFmtId="0" fontId="21" fillId="0" borderId="152" xfId="0" applyFont="1" applyBorder="1" applyAlignment="1">
      <alignment shrinkToFit="1"/>
    </xf>
    <xf numFmtId="38" fontId="21" fillId="0" borderId="165" xfId="49" applyFont="1" applyBorder="1" applyAlignment="1">
      <alignment shrinkToFit="1"/>
    </xf>
    <xf numFmtId="197" fontId="21" fillId="0" borderId="158" xfId="0" applyNumberFormat="1" applyFont="1" applyBorder="1" applyAlignment="1">
      <alignment shrinkToFit="1"/>
    </xf>
    <xf numFmtId="0" fontId="21" fillId="0" borderId="165" xfId="0" applyFont="1" applyBorder="1" applyAlignment="1">
      <alignment shrinkToFit="1"/>
    </xf>
    <xf numFmtId="197" fontId="21" fillId="0" borderId="149" xfId="0" applyNumberFormat="1" applyFont="1" applyBorder="1" applyAlignment="1">
      <alignment horizontal="center" vertical="center" shrinkToFit="1"/>
    </xf>
    <xf numFmtId="0" fontId="21" fillId="0" borderId="14" xfId="0" applyFont="1" applyBorder="1" applyAlignment="1">
      <alignment horizontal="distributed" shrinkToFit="1"/>
    </xf>
    <xf numFmtId="0" fontId="22" fillId="45" borderId="19" xfId="0" applyFont="1" applyFill="1" applyBorder="1" applyAlignment="1">
      <alignment horizontal="center"/>
    </xf>
    <xf numFmtId="38" fontId="22" fillId="0" borderId="18" xfId="49" applyFont="1" applyBorder="1" applyAlignment="1">
      <alignment/>
    </xf>
    <xf numFmtId="190" fontId="22" fillId="0" borderId="18" xfId="0" applyNumberFormat="1" applyFont="1" applyBorder="1" applyAlignment="1">
      <alignment/>
    </xf>
    <xf numFmtId="190" fontId="22" fillId="0" borderId="28" xfId="0" applyNumberFormat="1" applyFont="1" applyBorder="1" applyAlignment="1">
      <alignment/>
    </xf>
    <xf numFmtId="0" fontId="22" fillId="0" borderId="14" xfId="0" applyFont="1" applyBorder="1" applyAlignment="1">
      <alignment horizontal="distributed"/>
    </xf>
    <xf numFmtId="190" fontId="22" fillId="0" borderId="18" xfId="0" applyNumberFormat="1" applyFont="1" applyBorder="1" applyAlignment="1">
      <alignment horizontal="right"/>
    </xf>
    <xf numFmtId="38" fontId="22" fillId="0" borderId="135" xfId="49" applyFont="1" applyBorder="1" applyAlignment="1">
      <alignment/>
    </xf>
    <xf numFmtId="190" fontId="22" fillId="0" borderId="166" xfId="0" applyNumberFormat="1" applyFont="1" applyBorder="1" applyAlignment="1">
      <alignment/>
    </xf>
    <xf numFmtId="0" fontId="22" fillId="0" borderId="150" xfId="0" applyFont="1" applyBorder="1" applyAlignment="1">
      <alignment horizontal="distributed"/>
    </xf>
    <xf numFmtId="38" fontId="22" fillId="0" borderId="150" xfId="49" applyFont="1" applyBorder="1" applyAlignment="1">
      <alignment/>
    </xf>
    <xf numFmtId="190" fontId="22" fillId="0" borderId="150" xfId="0" applyNumberFormat="1" applyFont="1" applyBorder="1" applyAlignment="1">
      <alignment/>
    </xf>
    <xf numFmtId="38" fontId="22" fillId="0" borderId="167" xfId="49" applyFont="1" applyBorder="1" applyAlignment="1">
      <alignment/>
    </xf>
    <xf numFmtId="190" fontId="22" fillId="0" borderId="168" xfId="0" applyNumberFormat="1" applyFont="1" applyBorder="1" applyAlignment="1">
      <alignment/>
    </xf>
    <xf numFmtId="0" fontId="23" fillId="0" borderId="150" xfId="0" applyFont="1" applyBorder="1" applyAlignment="1">
      <alignment horizontal="distributed" shrinkToFit="1"/>
    </xf>
    <xf numFmtId="0" fontId="22" fillId="0" borderId="42" xfId="0" applyFont="1" applyBorder="1" applyAlignment="1">
      <alignment horizontal="distributed" vertical="center" shrinkToFit="1"/>
    </xf>
    <xf numFmtId="38" fontId="22" fillId="44" borderId="42" xfId="49" applyFont="1" applyFill="1" applyBorder="1" applyAlignment="1">
      <alignment/>
    </xf>
    <xf numFmtId="0" fontId="22" fillId="0" borderId="152" xfId="0" applyFont="1" applyBorder="1" applyAlignment="1">
      <alignment shrinkToFit="1"/>
    </xf>
    <xf numFmtId="0" fontId="22" fillId="0" borderId="169" xfId="0" applyFont="1" applyBorder="1" applyAlignment="1">
      <alignment horizontal="center" vertical="center" shrinkToFit="1"/>
    </xf>
    <xf numFmtId="0" fontId="21" fillId="0" borderId="158" xfId="0" applyFont="1" applyBorder="1" applyAlignment="1">
      <alignment horizontal="center" vertical="center" shrinkToFit="1"/>
    </xf>
    <xf numFmtId="197" fontId="22" fillId="0" borderId="169" xfId="42" applyNumberFormat="1" applyFont="1" applyBorder="1" applyAlignment="1">
      <alignment/>
    </xf>
    <xf numFmtId="185" fontId="22" fillId="0" borderId="151" xfId="0" applyNumberFormat="1" applyFont="1" applyBorder="1" applyAlignment="1">
      <alignment horizontal="right"/>
    </xf>
    <xf numFmtId="0" fontId="31" fillId="0" borderId="149" xfId="0" applyFont="1" applyBorder="1" applyAlignment="1">
      <alignment/>
    </xf>
    <xf numFmtId="0" fontId="30" fillId="0" borderId="149" xfId="0" applyFont="1" applyBorder="1" applyAlignment="1">
      <alignment/>
    </xf>
    <xf numFmtId="0" fontId="22" fillId="0" borderId="42" xfId="0" applyFont="1" applyBorder="1" applyAlignment="1">
      <alignment horizontal="distributed"/>
    </xf>
    <xf numFmtId="0" fontId="22" fillId="0" borderId="142" xfId="0" applyFont="1" applyBorder="1" applyAlignment="1">
      <alignment horizontal="distributed"/>
    </xf>
    <xf numFmtId="0" fontId="22" fillId="0" borderId="152" xfId="0" applyFont="1" applyBorder="1" applyAlignment="1">
      <alignment/>
    </xf>
    <xf numFmtId="38" fontId="22" fillId="0" borderId="42" xfId="49" applyFont="1" applyBorder="1" applyAlignment="1">
      <alignment/>
    </xf>
    <xf numFmtId="38" fontId="22" fillId="0" borderId="142" xfId="49" applyFont="1" applyBorder="1" applyAlignment="1">
      <alignment/>
    </xf>
    <xf numFmtId="0" fontId="22" fillId="0" borderId="42" xfId="0" applyFont="1" applyBorder="1" applyAlignment="1">
      <alignment horizontal="distributed" shrinkToFit="1"/>
    </xf>
    <xf numFmtId="38" fontId="8" fillId="50" borderId="16" xfId="49" applyFont="1" applyFill="1" applyBorder="1" applyAlignment="1">
      <alignment horizontal="distributed" vertical="center"/>
    </xf>
    <xf numFmtId="0" fontId="0" fillId="0" borderId="65" xfId="0" applyBorder="1" applyAlignment="1">
      <alignment/>
    </xf>
    <xf numFmtId="0" fontId="5" fillId="0" borderId="152" xfId="0" applyFont="1" applyBorder="1" applyAlignment="1">
      <alignment/>
    </xf>
    <xf numFmtId="181" fontId="92" fillId="0" borderId="14" xfId="49" applyNumberFormat="1" applyFont="1" applyBorder="1" applyAlignment="1">
      <alignment horizontal="right"/>
    </xf>
    <xf numFmtId="181" fontId="92" fillId="0" borderId="14" xfId="49" applyNumberFormat="1" applyFont="1" applyFill="1" applyBorder="1" applyAlignment="1">
      <alignment horizontal="right"/>
    </xf>
    <xf numFmtId="0" fontId="5" fillId="45" borderId="170" xfId="0" applyFont="1" applyFill="1" applyBorder="1" applyAlignment="1">
      <alignment horizontal="left"/>
    </xf>
    <xf numFmtId="0" fontId="5" fillId="45" borderId="171" xfId="0" applyFont="1" applyFill="1" applyBorder="1" applyAlignment="1">
      <alignment horizontal="right"/>
    </xf>
    <xf numFmtId="197" fontId="21" fillId="0" borderId="18" xfId="0" applyNumberFormat="1" applyFont="1" applyBorder="1" applyAlignment="1">
      <alignment/>
    </xf>
    <xf numFmtId="197" fontId="21" fillId="0" borderId="28" xfId="0" applyNumberFormat="1" applyFont="1" applyBorder="1" applyAlignment="1">
      <alignment/>
    </xf>
    <xf numFmtId="197" fontId="21" fillId="44" borderId="14" xfId="0" applyNumberFormat="1" applyFont="1" applyFill="1" applyBorder="1" applyAlignment="1">
      <alignment/>
    </xf>
    <xf numFmtId="197" fontId="21" fillId="44" borderId="19" xfId="0" applyNumberFormat="1" applyFont="1" applyFill="1" applyBorder="1" applyAlignment="1">
      <alignment/>
    </xf>
    <xf numFmtId="197" fontId="21" fillId="0" borderId="135" xfId="0" applyNumberFormat="1" applyFont="1" applyBorder="1" applyAlignment="1">
      <alignment/>
    </xf>
    <xf numFmtId="197" fontId="21" fillId="0" borderId="14" xfId="0" applyNumberFormat="1" applyFont="1" applyBorder="1" applyAlignment="1">
      <alignment/>
    </xf>
    <xf numFmtId="197" fontId="21" fillId="0" borderId="19" xfId="0" applyNumberFormat="1" applyFont="1" applyBorder="1" applyAlignment="1">
      <alignment/>
    </xf>
    <xf numFmtId="197" fontId="21" fillId="44" borderId="150" xfId="0" applyNumberFormat="1" applyFont="1" applyFill="1" applyBorder="1" applyAlignment="1">
      <alignment/>
    </xf>
    <xf numFmtId="197" fontId="21" fillId="44" borderId="151" xfId="0" applyNumberFormat="1" applyFont="1" applyFill="1" applyBorder="1" applyAlignment="1">
      <alignment/>
    </xf>
    <xf numFmtId="38" fontId="22" fillId="0" borderId="28" xfId="49" applyFont="1" applyFill="1" applyBorder="1" applyAlignment="1">
      <alignment/>
    </xf>
    <xf numFmtId="0" fontId="21" fillId="0" borderId="27" xfId="0" applyFont="1" applyBorder="1" applyAlignment="1">
      <alignment/>
    </xf>
    <xf numFmtId="0" fontId="21" fillId="44" borderId="160" xfId="0" applyFont="1" applyFill="1" applyBorder="1" applyAlignment="1">
      <alignment/>
    </xf>
    <xf numFmtId="0" fontId="96" fillId="7" borderId="0" xfId="0" applyFont="1" applyFill="1" applyAlignment="1">
      <alignment/>
    </xf>
    <xf numFmtId="0" fontId="0" fillId="7" borderId="0" xfId="0" applyFill="1" applyBorder="1" applyAlignment="1">
      <alignment/>
    </xf>
    <xf numFmtId="0" fontId="0" fillId="7" borderId="0" xfId="0" applyFill="1" applyBorder="1" applyAlignment="1">
      <alignment horizontal="distributed" vertical="center"/>
    </xf>
    <xf numFmtId="0" fontId="0" fillId="7" borderId="0" xfId="0" applyFill="1" applyBorder="1" applyAlignment="1">
      <alignment horizontal="right"/>
    </xf>
    <xf numFmtId="185" fontId="0" fillId="7" borderId="0" xfId="0" applyNumberFormat="1" applyFill="1" applyBorder="1" applyAlignment="1">
      <alignment horizontal="right"/>
    </xf>
    <xf numFmtId="0" fontId="96" fillId="7" borderId="0" xfId="0" applyFont="1" applyFill="1" applyBorder="1" applyAlignment="1">
      <alignment/>
    </xf>
    <xf numFmtId="0" fontId="96" fillId="7" borderId="149" xfId="0" applyFont="1" applyFill="1" applyBorder="1" applyAlignment="1">
      <alignment/>
    </xf>
    <xf numFmtId="0" fontId="0" fillId="7" borderId="149" xfId="0" applyFill="1" applyBorder="1" applyAlignment="1">
      <alignment/>
    </xf>
    <xf numFmtId="0" fontId="95" fillId="7" borderId="0" xfId="0" applyFont="1" applyFill="1" applyBorder="1" applyAlignment="1">
      <alignment/>
    </xf>
    <xf numFmtId="0" fontId="4" fillId="7" borderId="0" xfId="0" applyFont="1" applyFill="1" applyBorder="1" applyAlignment="1">
      <alignment horizontal="distributed" vertical="center"/>
    </xf>
    <xf numFmtId="181" fontId="5" fillId="7" borderId="0" xfId="49" applyNumberFormat="1" applyFont="1" applyFill="1" applyBorder="1" applyAlignment="1">
      <alignment horizontal="right"/>
    </xf>
    <xf numFmtId="0" fontId="36" fillId="7" borderId="0" xfId="0" applyFont="1" applyFill="1" applyAlignment="1">
      <alignment/>
    </xf>
    <xf numFmtId="0" fontId="5" fillId="7" borderId="0" xfId="0" applyFont="1" applyFill="1" applyBorder="1" applyAlignment="1">
      <alignment/>
    </xf>
    <xf numFmtId="0" fontId="5" fillId="7" borderId="0" xfId="0" applyFont="1" applyFill="1" applyBorder="1" applyAlignment="1">
      <alignment horizontal="distributed" vertical="center"/>
    </xf>
    <xf numFmtId="38" fontId="5" fillId="7" borderId="0" xfId="49" applyFont="1" applyFill="1" applyBorder="1" applyAlignment="1">
      <alignment/>
    </xf>
    <xf numFmtId="38" fontId="5" fillId="7" borderId="0" xfId="0" applyNumberFormat="1" applyFont="1" applyFill="1" applyBorder="1" applyAlignment="1">
      <alignment/>
    </xf>
    <xf numFmtId="181" fontId="5" fillId="7" borderId="0" xfId="0" applyNumberFormat="1" applyFont="1" applyFill="1" applyBorder="1" applyAlignment="1">
      <alignment/>
    </xf>
    <xf numFmtId="190" fontId="5" fillId="7" borderId="0" xfId="0" applyNumberFormat="1" applyFont="1" applyFill="1" applyBorder="1" applyAlignment="1">
      <alignment/>
    </xf>
    <xf numFmtId="0" fontId="33" fillId="7" borderId="0" xfId="0" applyFont="1" applyFill="1" applyBorder="1" applyAlignment="1">
      <alignment/>
    </xf>
    <xf numFmtId="0" fontId="33" fillId="7" borderId="0" xfId="0" applyFont="1" applyFill="1" applyAlignment="1">
      <alignment/>
    </xf>
    <xf numFmtId="0" fontId="0" fillId="12" borderId="0" xfId="0" applyFill="1" applyAlignment="1">
      <alignment/>
    </xf>
    <xf numFmtId="38" fontId="0" fillId="12" borderId="0" xfId="49" applyFont="1" applyFill="1" applyAlignment="1">
      <alignment/>
    </xf>
    <xf numFmtId="190" fontId="21" fillId="0" borderId="28" xfId="0" applyNumberFormat="1" applyFont="1" applyBorder="1" applyAlignment="1">
      <alignment/>
    </xf>
    <xf numFmtId="190" fontId="21" fillId="44" borderId="14" xfId="0" applyNumberFormat="1" applyFont="1" applyFill="1" applyBorder="1" applyAlignment="1">
      <alignment/>
    </xf>
    <xf numFmtId="190" fontId="21" fillId="44" borderId="19" xfId="0" applyNumberFormat="1" applyFont="1" applyFill="1" applyBorder="1" applyAlignment="1">
      <alignment/>
    </xf>
    <xf numFmtId="190" fontId="21" fillId="0" borderId="135" xfId="0" applyNumberFormat="1" applyFont="1" applyFill="1" applyBorder="1" applyAlignment="1">
      <alignment/>
    </xf>
    <xf numFmtId="190" fontId="21" fillId="0" borderId="14" xfId="0" applyNumberFormat="1" applyFont="1" applyFill="1" applyBorder="1" applyAlignment="1">
      <alignment/>
    </xf>
    <xf numFmtId="190" fontId="21" fillId="0" borderId="14" xfId="0" applyNumberFormat="1" applyFont="1" applyBorder="1" applyAlignment="1">
      <alignment/>
    </xf>
    <xf numFmtId="190" fontId="21" fillId="0" borderId="19" xfId="0" applyNumberFormat="1" applyFont="1" applyBorder="1" applyAlignment="1">
      <alignment/>
    </xf>
    <xf numFmtId="190" fontId="97" fillId="44" borderId="14" xfId="0" applyNumberFormat="1" applyFont="1" applyFill="1" applyBorder="1" applyAlignment="1">
      <alignment/>
    </xf>
    <xf numFmtId="190" fontId="21" fillId="0" borderId="135" xfId="0" applyNumberFormat="1" applyFont="1" applyBorder="1" applyAlignment="1">
      <alignment/>
    </xf>
    <xf numFmtId="0" fontId="21" fillId="7" borderId="0" xfId="0" applyFont="1" applyFill="1" applyAlignment="1">
      <alignment/>
    </xf>
    <xf numFmtId="0" fontId="0" fillId="7" borderId="0" xfId="0" applyFill="1" applyAlignment="1">
      <alignment/>
    </xf>
    <xf numFmtId="38" fontId="0" fillId="7" borderId="0" xfId="49" applyFont="1" applyFill="1" applyBorder="1" applyAlignment="1">
      <alignment shrinkToFit="1"/>
    </xf>
    <xf numFmtId="211" fontId="0" fillId="7" borderId="0" xfId="0" applyNumberFormat="1" applyFill="1" applyBorder="1" applyAlignment="1">
      <alignment shrinkToFit="1"/>
    </xf>
    <xf numFmtId="0" fontId="0" fillId="7" borderId="0" xfId="0" applyFill="1" applyAlignment="1">
      <alignment horizontal="center"/>
    </xf>
    <xf numFmtId="190" fontId="0" fillId="7" borderId="0" xfId="0" applyNumberFormat="1" applyFill="1" applyAlignment="1">
      <alignment/>
    </xf>
    <xf numFmtId="38" fontId="34" fillId="28" borderId="150" xfId="49" applyFont="1" applyFill="1" applyBorder="1" applyAlignment="1">
      <alignment/>
    </xf>
    <xf numFmtId="181" fontId="92" fillId="0" borderId="19" xfId="49" applyNumberFormat="1" applyFont="1" applyBorder="1" applyAlignment="1">
      <alignment horizontal="right"/>
    </xf>
    <xf numFmtId="190" fontId="98" fillId="44" borderId="19" xfId="0" applyNumberFormat="1" applyFont="1" applyFill="1" applyBorder="1" applyAlignment="1">
      <alignment/>
    </xf>
    <xf numFmtId="190" fontId="21" fillId="0" borderId="158" xfId="0" applyNumberFormat="1" applyFont="1" applyBorder="1" applyAlignment="1">
      <alignment shrinkToFit="1"/>
    </xf>
    <xf numFmtId="178" fontId="5" fillId="0" borderId="21" xfId="0" applyNumberFormat="1" applyFont="1" applyFill="1" applyBorder="1" applyAlignment="1">
      <alignment vertical="center"/>
    </xf>
    <xf numFmtId="178" fontId="5" fillId="0" borderId="172" xfId="0" applyNumberFormat="1" applyFont="1" applyFill="1" applyBorder="1" applyAlignment="1">
      <alignment vertical="center"/>
    </xf>
    <xf numFmtId="178" fontId="5" fillId="0" borderId="173" xfId="0" applyNumberFormat="1" applyFont="1" applyFill="1" applyBorder="1" applyAlignment="1">
      <alignment vertical="center"/>
    </xf>
    <xf numFmtId="178" fontId="5" fillId="0" borderId="174" xfId="0" applyNumberFormat="1" applyFont="1" applyFill="1" applyBorder="1" applyAlignment="1">
      <alignment vertical="center"/>
    </xf>
    <xf numFmtId="178" fontId="5" fillId="0" borderId="175" xfId="0" applyNumberFormat="1" applyFont="1" applyFill="1" applyBorder="1" applyAlignment="1">
      <alignment vertical="center"/>
    </xf>
    <xf numFmtId="178" fontId="5" fillId="0" borderId="176" xfId="0" applyNumberFormat="1" applyFont="1" applyFill="1" applyBorder="1" applyAlignment="1">
      <alignment vertical="center"/>
    </xf>
    <xf numFmtId="178" fontId="5" fillId="0" borderId="177" xfId="0" applyNumberFormat="1" applyFont="1" applyFill="1" applyBorder="1" applyAlignment="1">
      <alignment vertical="center"/>
    </xf>
    <xf numFmtId="178" fontId="5" fillId="0" borderId="39" xfId="0" applyNumberFormat="1" applyFont="1" applyFill="1" applyBorder="1" applyAlignment="1">
      <alignment vertical="center"/>
    </xf>
    <xf numFmtId="178" fontId="5" fillId="0" borderId="40" xfId="0" applyNumberFormat="1" applyFont="1" applyFill="1" applyBorder="1" applyAlignment="1">
      <alignment vertical="center"/>
    </xf>
    <xf numFmtId="178" fontId="5" fillId="0" borderId="18" xfId="0" applyNumberFormat="1" applyFont="1" applyFill="1" applyBorder="1" applyAlignment="1">
      <alignment vertical="center"/>
    </xf>
    <xf numFmtId="178" fontId="5" fillId="0" borderId="41" xfId="0" applyNumberFormat="1" applyFont="1" applyFill="1" applyBorder="1" applyAlignment="1">
      <alignment vertical="center"/>
    </xf>
    <xf numFmtId="178" fontId="5" fillId="0" borderId="38" xfId="0" applyNumberFormat="1" applyFont="1" applyFill="1" applyBorder="1" applyAlignment="1">
      <alignment vertical="center"/>
    </xf>
    <xf numFmtId="178" fontId="5" fillId="0" borderId="178" xfId="0" applyNumberFormat="1" applyFont="1" applyFill="1" applyBorder="1" applyAlignment="1">
      <alignment vertical="center"/>
    </xf>
    <xf numFmtId="177" fontId="5" fillId="0" borderId="0" xfId="49" applyNumberFormat="1" applyFont="1" applyFill="1" applyAlignment="1">
      <alignment horizontal="right" vertical="center"/>
    </xf>
    <xf numFmtId="178" fontId="5" fillId="0" borderId="33" xfId="0" applyNumberFormat="1" applyFont="1" applyFill="1" applyBorder="1" applyAlignment="1">
      <alignment vertical="center"/>
    </xf>
    <xf numFmtId="38" fontId="10" fillId="0" borderId="0" xfId="49" applyFont="1" applyFill="1" applyAlignment="1">
      <alignment horizontal="right" vertical="center"/>
    </xf>
    <xf numFmtId="178" fontId="5" fillId="0" borderId="14" xfId="0" applyNumberFormat="1" applyFont="1" applyFill="1" applyBorder="1" applyAlignment="1">
      <alignment horizontal="right" vertical="center"/>
    </xf>
    <xf numFmtId="178" fontId="5" fillId="0" borderId="130" xfId="0" applyNumberFormat="1" applyFont="1" applyFill="1" applyBorder="1" applyAlignment="1">
      <alignment vertical="center"/>
    </xf>
    <xf numFmtId="178" fontId="5" fillId="0" borderId="131" xfId="0" applyNumberFormat="1" applyFont="1" applyFill="1" applyBorder="1" applyAlignment="1">
      <alignment vertical="center"/>
    </xf>
    <xf numFmtId="178" fontId="5" fillId="0" borderId="43" xfId="0" applyNumberFormat="1" applyFont="1" applyFill="1" applyBorder="1" applyAlignment="1">
      <alignment vertical="center"/>
    </xf>
    <xf numFmtId="0" fontId="3" fillId="0" borderId="18"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54" xfId="0" applyFont="1" applyBorder="1" applyAlignment="1">
      <alignment horizontal="center" vertical="center"/>
    </xf>
    <xf numFmtId="0" fontId="3" fillId="0" borderId="124" xfId="0" applyFont="1" applyBorder="1" applyAlignment="1">
      <alignment horizontal="center" vertical="center"/>
    </xf>
    <xf numFmtId="0" fontId="1" fillId="0" borderId="51" xfId="0" applyFont="1" applyBorder="1" applyAlignment="1">
      <alignment horizontal="left" vertical="center"/>
    </xf>
    <xf numFmtId="0" fontId="3" fillId="33" borderId="179" xfId="0" applyFont="1" applyFill="1" applyBorder="1" applyAlignment="1">
      <alignment horizontal="center" vertical="center"/>
    </xf>
    <xf numFmtId="0" fontId="3" fillId="33" borderId="17" xfId="0" applyFont="1" applyFill="1" applyBorder="1" applyAlignment="1">
      <alignment horizontal="center" vertical="center"/>
    </xf>
    <xf numFmtId="0" fontId="3" fillId="36" borderId="180" xfId="0" applyFont="1" applyFill="1" applyBorder="1" applyAlignment="1">
      <alignment horizontal="center" vertical="center" textRotation="255"/>
    </xf>
    <xf numFmtId="0" fontId="3" fillId="36" borderId="100" xfId="0" applyFont="1" applyFill="1" applyBorder="1" applyAlignment="1">
      <alignment horizontal="center" vertical="center" textRotation="255"/>
    </xf>
    <xf numFmtId="0" fontId="3" fillId="36" borderId="101" xfId="0" applyFont="1" applyFill="1" applyBorder="1" applyAlignment="1">
      <alignment horizontal="center" vertical="center" textRotation="255"/>
    </xf>
    <xf numFmtId="0" fontId="3" fillId="0" borderId="82" xfId="0" applyFont="1" applyBorder="1" applyAlignment="1">
      <alignment horizontal="center" vertical="center" textRotation="255"/>
    </xf>
    <xf numFmtId="0" fontId="3" fillId="34" borderId="181" xfId="0" applyFont="1" applyFill="1" applyBorder="1" applyAlignment="1">
      <alignment horizontal="center" vertical="center" textRotation="255"/>
    </xf>
    <xf numFmtId="0" fontId="3" fillId="34" borderId="146" xfId="0" applyFont="1" applyFill="1" applyBorder="1" applyAlignment="1">
      <alignment horizontal="center" vertical="center" textRotation="255"/>
    </xf>
    <xf numFmtId="0" fontId="3" fillId="34" borderId="147" xfId="0" applyFont="1" applyFill="1" applyBorder="1" applyAlignment="1">
      <alignment horizontal="center" vertical="center" textRotation="255"/>
    </xf>
    <xf numFmtId="0" fontId="3" fillId="0" borderId="128" xfId="0" applyFont="1" applyBorder="1" applyAlignment="1">
      <alignment horizontal="center" vertical="center" wrapText="1"/>
    </xf>
    <xf numFmtId="0" fontId="3" fillId="0" borderId="80" xfId="0" applyFont="1" applyBorder="1" applyAlignment="1">
      <alignment horizontal="center" vertical="center" wrapText="1"/>
    </xf>
    <xf numFmtId="0" fontId="5" fillId="0" borderId="19" xfId="0" applyFont="1" applyBorder="1" applyAlignment="1">
      <alignment horizontal="distributed" vertical="center" shrinkToFit="1"/>
    </xf>
    <xf numFmtId="0" fontId="0" fillId="0" borderId="29" xfId="0" applyBorder="1" applyAlignment="1">
      <alignment horizontal="distributed" vertical="center" shrinkToFit="1"/>
    </xf>
    <xf numFmtId="0" fontId="5" fillId="33" borderId="16" xfId="0" applyFont="1" applyFill="1" applyBorder="1" applyAlignment="1">
      <alignment horizontal="distributed" vertical="center" shrinkToFit="1"/>
    </xf>
    <xf numFmtId="0" fontId="5" fillId="0" borderId="14" xfId="0" applyFont="1" applyBorder="1" applyAlignment="1">
      <alignment horizontal="distributed" vertical="center" shrinkToFit="1"/>
    </xf>
    <xf numFmtId="0" fontId="8" fillId="0" borderId="14" xfId="0" applyFont="1" applyBorder="1" applyAlignment="1">
      <alignment horizontal="distributed" vertical="center" wrapText="1" shrinkToFit="1"/>
    </xf>
    <xf numFmtId="0" fontId="8" fillId="0" borderId="14" xfId="0" applyFont="1" applyBorder="1" applyAlignment="1">
      <alignment horizontal="distributed" vertical="center" shrinkToFit="1"/>
    </xf>
    <xf numFmtId="0" fontId="5" fillId="34" borderId="99" xfId="0" applyFont="1" applyFill="1" applyBorder="1" applyAlignment="1">
      <alignment horizontal="center" vertical="center" textRotation="255"/>
    </xf>
    <xf numFmtId="0" fontId="5" fillId="34" borderId="100" xfId="0" applyFont="1" applyFill="1" applyBorder="1" applyAlignment="1">
      <alignment horizontal="center" vertical="center" textRotation="255"/>
    </xf>
    <xf numFmtId="0" fontId="5" fillId="34" borderId="102" xfId="0" applyFont="1" applyFill="1" applyBorder="1" applyAlignment="1">
      <alignment horizontal="center" vertical="center" textRotation="255"/>
    </xf>
    <xf numFmtId="0" fontId="5" fillId="37" borderId="18" xfId="0" applyFont="1" applyFill="1" applyBorder="1" applyAlignment="1">
      <alignment horizontal="distributed" vertical="center" shrinkToFit="1"/>
    </xf>
    <xf numFmtId="0" fontId="5" fillId="0" borderId="42" xfId="0" applyFont="1" applyBorder="1" applyAlignment="1">
      <alignment horizontal="center" vertical="center" shrinkToFit="1"/>
    </xf>
    <xf numFmtId="0" fontId="5" fillId="0" borderId="142" xfId="0" applyFont="1" applyBorder="1" applyAlignment="1">
      <alignment horizontal="center" vertical="center" shrinkToFit="1"/>
    </xf>
    <xf numFmtId="0" fontId="5" fillId="0" borderId="36" xfId="0" applyFont="1" applyBorder="1" applyAlignment="1">
      <alignment horizontal="center" vertical="center" shrinkToFit="1"/>
    </xf>
    <xf numFmtId="0" fontId="5" fillId="34" borderId="14" xfId="0" applyFont="1" applyFill="1" applyBorder="1" applyAlignment="1">
      <alignment horizontal="distributed" vertical="center" shrinkToFit="1"/>
    </xf>
    <xf numFmtId="0" fontId="5" fillId="36" borderId="14" xfId="0" applyFont="1" applyFill="1" applyBorder="1" applyAlignment="1">
      <alignment horizontal="distributed" vertical="center" shrinkToFit="1"/>
    </xf>
    <xf numFmtId="0" fontId="5" fillId="0" borderId="18" xfId="0" applyFont="1" applyBorder="1" applyAlignment="1">
      <alignment horizontal="center" vertical="center" shrinkToFit="1"/>
    </xf>
    <xf numFmtId="0" fontId="5" fillId="0" borderId="38" xfId="0" applyFont="1" applyBorder="1" applyAlignment="1">
      <alignment horizontal="center" vertical="center" shrinkToFit="1"/>
    </xf>
    <xf numFmtId="0" fontId="8" fillId="0" borderId="14" xfId="0" applyFont="1" applyBorder="1" applyAlignment="1">
      <alignment horizontal="center" vertical="center" textRotation="255" shrinkToFit="1"/>
    </xf>
    <xf numFmtId="0" fontId="5" fillId="0" borderId="14" xfId="0" applyFont="1" applyBorder="1" applyAlignment="1">
      <alignment horizontal="center" vertical="center" textRotation="255" shrinkToFit="1"/>
    </xf>
    <xf numFmtId="176" fontId="1" fillId="0" borderId="51" xfId="0" applyNumberFormat="1" applyFont="1" applyBorder="1" applyAlignment="1">
      <alignment horizontal="left" vertical="center"/>
    </xf>
    <xf numFmtId="0" fontId="5" fillId="33" borderId="182" xfId="0" applyFont="1" applyFill="1" applyBorder="1" applyAlignment="1">
      <alignment horizontal="center" vertical="center"/>
    </xf>
    <xf numFmtId="0" fontId="5" fillId="33" borderId="78" xfId="0" applyFont="1" applyFill="1" applyBorder="1" applyAlignment="1">
      <alignment horizontal="center" vertical="center"/>
    </xf>
    <xf numFmtId="0" fontId="5" fillId="33" borderId="22" xfId="0" applyFont="1" applyFill="1" applyBorder="1" applyAlignment="1">
      <alignment horizontal="center" vertical="center"/>
    </xf>
    <xf numFmtId="0" fontId="5" fillId="36" borderId="180" xfId="0" applyFont="1" applyFill="1" applyBorder="1" applyAlignment="1">
      <alignment horizontal="center" vertical="center" textRotation="255"/>
    </xf>
    <xf numFmtId="0" fontId="5" fillId="36" borderId="100" xfId="0" applyFont="1" applyFill="1" applyBorder="1" applyAlignment="1">
      <alignment horizontal="center" vertical="center" textRotation="255"/>
    </xf>
    <xf numFmtId="0" fontId="5" fillId="36" borderId="101" xfId="0" applyFont="1" applyFill="1" applyBorder="1" applyAlignment="1">
      <alignment horizontal="center" vertical="center" textRotation="255"/>
    </xf>
    <xf numFmtId="0" fontId="5" fillId="33" borderId="15" xfId="0" applyFont="1" applyFill="1" applyBorder="1" applyAlignment="1">
      <alignment horizontal="distributed" vertical="center" shrinkToFit="1"/>
    </xf>
    <xf numFmtId="0" fontId="5" fillId="0" borderId="19" xfId="0" applyFont="1" applyBorder="1" applyAlignment="1">
      <alignment horizontal="center" vertical="center" shrinkToFit="1"/>
    </xf>
    <xf numFmtId="0" fontId="0" fillId="0" borderId="29" xfId="0" applyBorder="1" applyAlignment="1">
      <alignment vertical="center" shrinkToFit="1"/>
    </xf>
    <xf numFmtId="0" fontId="5" fillId="0" borderId="42" xfId="0" applyFont="1" applyBorder="1" applyAlignment="1">
      <alignment horizontal="center" vertical="center"/>
    </xf>
    <xf numFmtId="0" fontId="5" fillId="0" borderId="142" xfId="0" applyFont="1" applyBorder="1" applyAlignment="1">
      <alignment horizontal="center" vertical="center"/>
    </xf>
    <xf numFmtId="0" fontId="5" fillId="0" borderId="36" xfId="0" applyFont="1" applyBorder="1" applyAlignment="1">
      <alignment horizontal="center" vertical="center"/>
    </xf>
    <xf numFmtId="0" fontId="5" fillId="0" borderId="14" xfId="0" applyFont="1" applyBorder="1" applyAlignment="1">
      <alignment vertical="center" shrinkToFit="1"/>
    </xf>
    <xf numFmtId="0" fontId="5" fillId="37" borderId="18" xfId="0" applyFont="1" applyFill="1" applyBorder="1" applyAlignment="1">
      <alignment horizontal="distributed" vertical="center"/>
    </xf>
    <xf numFmtId="0" fontId="4" fillId="34" borderId="14" xfId="0" applyFont="1" applyFill="1" applyBorder="1" applyAlignment="1">
      <alignment vertical="center" shrinkToFit="1"/>
    </xf>
    <xf numFmtId="0" fontId="5" fillId="0" borderId="18" xfId="0" applyFont="1" applyBorder="1" applyAlignment="1">
      <alignment horizontal="center" vertical="center"/>
    </xf>
    <xf numFmtId="0" fontId="5" fillId="0" borderId="14" xfId="0" applyFont="1" applyBorder="1" applyAlignment="1">
      <alignment horizontal="distributed" vertical="center"/>
    </xf>
    <xf numFmtId="0" fontId="5" fillId="36" borderId="14" xfId="0" applyFont="1" applyFill="1" applyBorder="1" applyAlignment="1">
      <alignment horizontal="distributed" vertical="center"/>
    </xf>
    <xf numFmtId="0" fontId="5" fillId="33" borderId="14" xfId="0" applyFont="1" applyFill="1" applyBorder="1" applyAlignment="1">
      <alignment horizontal="distributed" vertical="center"/>
    </xf>
    <xf numFmtId="0" fontId="5" fillId="0" borderId="38" xfId="0" applyFont="1" applyBorder="1" applyAlignment="1">
      <alignment horizontal="center" vertical="center"/>
    </xf>
    <xf numFmtId="0" fontId="5" fillId="0" borderId="19" xfId="0" applyFont="1" applyBorder="1" applyAlignment="1">
      <alignment vertical="center" shrinkToFit="1"/>
    </xf>
    <xf numFmtId="0" fontId="5" fillId="0" borderId="29" xfId="0" applyFont="1" applyBorder="1" applyAlignment="1">
      <alignment vertical="center" shrinkToFit="1"/>
    </xf>
    <xf numFmtId="0" fontId="5" fillId="34" borderId="14" xfId="0" applyFont="1" applyFill="1" applyBorder="1" applyAlignment="1">
      <alignment horizontal="distributed" vertical="center"/>
    </xf>
    <xf numFmtId="0" fontId="5" fillId="34" borderId="16" xfId="0" applyFont="1" applyFill="1" applyBorder="1" applyAlignment="1">
      <alignment horizontal="distributed" vertical="center"/>
    </xf>
    <xf numFmtId="0" fontId="8" fillId="0" borderId="14" xfId="0" applyFont="1" applyBorder="1" applyAlignment="1">
      <alignment horizontal="distributed" vertical="center" wrapText="1"/>
    </xf>
    <xf numFmtId="0" fontId="8" fillId="0" borderId="14" xfId="0" applyFont="1" applyBorder="1" applyAlignment="1">
      <alignment horizontal="distributed" vertical="center"/>
    </xf>
    <xf numFmtId="0" fontId="1" fillId="0" borderId="0" xfId="0" applyFont="1" applyBorder="1" applyAlignment="1">
      <alignment horizontal="left" vertical="center"/>
    </xf>
    <xf numFmtId="0" fontId="5" fillId="36" borderId="102" xfId="0" applyFont="1" applyFill="1" applyBorder="1" applyAlignment="1">
      <alignment horizontal="center" vertical="center" textRotation="255"/>
    </xf>
    <xf numFmtId="0" fontId="5" fillId="34" borderId="18" xfId="0" applyFont="1" applyFill="1" applyBorder="1" applyAlignment="1">
      <alignment horizontal="distributed" vertical="center"/>
    </xf>
    <xf numFmtId="0" fontId="0" fillId="0" borderId="29" xfId="0" applyFont="1" applyBorder="1" applyAlignment="1">
      <alignment horizontal="distributed" vertical="center"/>
    </xf>
    <xf numFmtId="38" fontId="4" fillId="33" borderId="19" xfId="49" applyFont="1" applyFill="1" applyBorder="1" applyAlignment="1">
      <alignment horizontal="distributed" vertical="center" wrapText="1"/>
    </xf>
    <xf numFmtId="38" fontId="4" fillId="33" borderId="128" xfId="49" applyFont="1" applyFill="1" applyBorder="1" applyAlignment="1">
      <alignment horizontal="distributed" vertical="center"/>
    </xf>
    <xf numFmtId="0" fontId="5" fillId="0" borderId="54"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71" xfId="0" applyFont="1" applyBorder="1" applyAlignment="1">
      <alignment horizontal="left" vertical="center" shrinkToFit="1"/>
    </xf>
    <xf numFmtId="0" fontId="5" fillId="34" borderId="183" xfId="0" applyFont="1" applyFill="1" applyBorder="1" applyAlignment="1">
      <alignment vertical="center" shrinkToFit="1"/>
    </xf>
    <xf numFmtId="0" fontId="5" fillId="34" borderId="184" xfId="0" applyFont="1" applyFill="1" applyBorder="1" applyAlignment="1">
      <alignment vertical="center" shrinkToFit="1"/>
    </xf>
    <xf numFmtId="0" fontId="5" fillId="34" borderId="176" xfId="0" applyFont="1" applyFill="1" applyBorder="1" applyAlignment="1">
      <alignment vertical="center" shrinkToFit="1"/>
    </xf>
    <xf numFmtId="0" fontId="5" fillId="38" borderId="185" xfId="0" applyFont="1" applyFill="1" applyBorder="1" applyAlignment="1">
      <alignment horizontal="left" vertical="center" shrinkToFit="1"/>
    </xf>
    <xf numFmtId="0" fontId="5" fillId="38" borderId="186" xfId="0" applyFont="1" applyFill="1" applyBorder="1" applyAlignment="1">
      <alignment horizontal="left" vertical="center" shrinkToFit="1"/>
    </xf>
    <xf numFmtId="0" fontId="5" fillId="38" borderId="187" xfId="0" applyFont="1" applyFill="1" applyBorder="1" applyAlignment="1">
      <alignment horizontal="left" vertical="center" shrinkToFit="1"/>
    </xf>
    <xf numFmtId="0" fontId="5" fillId="0" borderId="19" xfId="0" applyFont="1" applyBorder="1" applyAlignment="1">
      <alignment horizontal="left" vertical="center" shrinkToFit="1"/>
    </xf>
    <xf numFmtId="0" fontId="5" fillId="0" borderId="31" xfId="0" applyFont="1" applyBorder="1" applyAlignment="1">
      <alignment horizontal="left" vertical="center" shrinkToFit="1"/>
    </xf>
    <xf numFmtId="0" fontId="5" fillId="0" borderId="32" xfId="0" applyFont="1" applyBorder="1" applyAlignment="1">
      <alignment horizontal="left" vertical="center" shrinkToFit="1"/>
    </xf>
    <xf numFmtId="0" fontId="5" fillId="0" borderId="127" xfId="0" applyFont="1" applyBorder="1" applyAlignment="1">
      <alignment horizontal="left" vertical="center" shrinkToFit="1"/>
    </xf>
    <xf numFmtId="0" fontId="5" fillId="0" borderId="79" xfId="0" applyFont="1" applyBorder="1" applyAlignment="1">
      <alignment horizontal="left" vertical="center" shrinkToFit="1"/>
    </xf>
    <xf numFmtId="0" fontId="5" fillId="0" borderId="74" xfId="0" applyFont="1" applyBorder="1" applyAlignment="1">
      <alignment horizontal="left" vertical="center" shrinkToFit="1"/>
    </xf>
    <xf numFmtId="0" fontId="5" fillId="36" borderId="188" xfId="0" applyFont="1" applyFill="1" applyBorder="1" applyAlignment="1">
      <alignment horizontal="left" vertical="center" shrinkToFit="1"/>
    </xf>
    <xf numFmtId="0" fontId="5" fillId="36" borderId="189" xfId="0" applyFont="1" applyFill="1" applyBorder="1" applyAlignment="1">
      <alignment horizontal="left" vertical="center" shrinkToFit="1"/>
    </xf>
    <xf numFmtId="0" fontId="5" fillId="36" borderId="190" xfId="0" applyFont="1" applyFill="1" applyBorder="1" applyAlignment="1">
      <alignment horizontal="left" vertical="center" shrinkToFit="1"/>
    </xf>
    <xf numFmtId="0" fontId="5" fillId="0" borderId="145" xfId="0" applyFont="1" applyBorder="1" applyAlignment="1">
      <alignment horizontal="center" vertical="center" shrinkToFit="1"/>
    </xf>
    <xf numFmtId="0" fontId="5" fillId="0" borderId="146" xfId="0" applyFont="1" applyBorder="1" applyAlignment="1">
      <alignment horizontal="center" vertical="center" shrinkToFit="1"/>
    </xf>
    <xf numFmtId="0" fontId="5" fillId="0" borderId="191" xfId="0" applyFont="1" applyBorder="1" applyAlignment="1">
      <alignment horizontal="center" vertical="center" shrinkToFit="1"/>
    </xf>
    <xf numFmtId="0" fontId="5" fillId="0" borderId="31" xfId="0" applyFont="1" applyBorder="1" applyAlignment="1">
      <alignment vertical="center" shrinkToFit="1"/>
    </xf>
    <xf numFmtId="0" fontId="5" fillId="0" borderId="32" xfId="0" applyFont="1" applyBorder="1" applyAlignment="1">
      <alignment vertical="center" shrinkToFit="1"/>
    </xf>
    <xf numFmtId="38" fontId="5" fillId="34" borderId="192" xfId="49" applyFont="1" applyFill="1" applyBorder="1" applyAlignment="1">
      <alignment horizontal="distributed" vertical="center"/>
    </xf>
    <xf numFmtId="0" fontId="0" fillId="0" borderId="193" xfId="0" applyBorder="1" applyAlignment="1">
      <alignment/>
    </xf>
    <xf numFmtId="0" fontId="0" fillId="0" borderId="35" xfId="0" applyBorder="1" applyAlignment="1">
      <alignment/>
    </xf>
    <xf numFmtId="38" fontId="5" fillId="37" borderId="194" xfId="49" applyFont="1" applyFill="1" applyBorder="1" applyAlignment="1">
      <alignment horizontal="distributed" vertical="center"/>
    </xf>
    <xf numFmtId="38" fontId="5" fillId="37" borderId="21" xfId="49" applyFont="1" applyFill="1" applyBorder="1" applyAlignment="1">
      <alignment horizontal="distributed" vertical="center"/>
    </xf>
    <xf numFmtId="38" fontId="5" fillId="37" borderId="195" xfId="49" applyFont="1" applyFill="1" applyBorder="1" applyAlignment="1">
      <alignment horizontal="distributed" vertical="center"/>
    </xf>
    <xf numFmtId="38" fontId="5" fillId="33" borderId="92" xfId="49" applyFont="1" applyFill="1" applyBorder="1" applyAlignment="1">
      <alignment horizontal="center" vertical="center"/>
    </xf>
    <xf numFmtId="38" fontId="5" fillId="33" borderId="196" xfId="49" applyFont="1" applyFill="1" applyBorder="1" applyAlignment="1">
      <alignment horizontal="center" vertical="center"/>
    </xf>
    <xf numFmtId="38" fontId="5" fillId="33" borderId="29" xfId="49" applyFont="1" applyFill="1" applyBorder="1" applyAlignment="1">
      <alignment horizontal="center" vertical="center"/>
    </xf>
    <xf numFmtId="38" fontId="5" fillId="33" borderId="90" xfId="49" applyFont="1" applyFill="1" applyBorder="1" applyAlignment="1">
      <alignment horizontal="center" vertical="center"/>
    </xf>
    <xf numFmtId="38" fontId="5" fillId="33" borderId="14" xfId="49" applyFont="1" applyFill="1" applyBorder="1" applyAlignment="1">
      <alignment horizontal="center" vertical="center"/>
    </xf>
    <xf numFmtId="38" fontId="5" fillId="33" borderId="16" xfId="49" applyFont="1" applyFill="1" applyBorder="1" applyAlignment="1">
      <alignment horizontal="center" vertical="center"/>
    </xf>
    <xf numFmtId="38" fontId="5" fillId="33" borderId="14" xfId="49" applyFont="1" applyFill="1" applyBorder="1" applyAlignment="1">
      <alignment horizontal="distributed" vertical="center" wrapText="1"/>
    </xf>
    <xf numFmtId="38" fontId="5" fillId="33" borderId="16" xfId="49" applyFont="1" applyFill="1" applyBorder="1" applyAlignment="1">
      <alignment horizontal="distributed" vertical="center"/>
    </xf>
    <xf numFmtId="0" fontId="5" fillId="37" borderId="182" xfId="0" applyFont="1" applyFill="1" applyBorder="1" applyAlignment="1">
      <alignment horizontal="left" vertical="center" shrinkToFit="1"/>
    </xf>
    <xf numFmtId="0" fontId="5" fillId="37" borderId="78" xfId="0" applyFont="1" applyFill="1" applyBorder="1" applyAlignment="1">
      <alignment horizontal="left" vertical="center" shrinkToFit="1"/>
    </xf>
    <xf numFmtId="0" fontId="5" fillId="37" borderId="73" xfId="0" applyFont="1" applyFill="1" applyBorder="1" applyAlignment="1">
      <alignment horizontal="left" vertical="center" shrinkToFit="1"/>
    </xf>
    <xf numFmtId="0" fontId="5" fillId="33" borderId="188" xfId="0" applyFont="1" applyFill="1" applyBorder="1" applyAlignment="1">
      <alignment horizontal="left" vertical="center" shrinkToFit="1"/>
    </xf>
    <xf numFmtId="0" fontId="5" fillId="33" borderId="189" xfId="0" applyFont="1" applyFill="1" applyBorder="1" applyAlignment="1">
      <alignment horizontal="left" vertical="center" shrinkToFit="1"/>
    </xf>
    <xf numFmtId="0" fontId="5" fillId="33" borderId="190" xfId="0" applyFont="1" applyFill="1" applyBorder="1" applyAlignment="1">
      <alignment horizontal="left" vertical="center" shrinkToFit="1"/>
    </xf>
    <xf numFmtId="0" fontId="9" fillId="0" borderId="51" xfId="0" applyFont="1" applyBorder="1" applyAlignment="1">
      <alignment horizontal="left" vertical="center"/>
    </xf>
    <xf numFmtId="0" fontId="5" fillId="33" borderId="68" xfId="0" applyFont="1" applyFill="1" applyBorder="1" applyAlignment="1">
      <alignment horizontal="center" vertical="center" shrinkToFit="1"/>
    </xf>
    <xf numFmtId="0" fontId="5" fillId="33" borderId="49" xfId="0" applyFont="1" applyFill="1" applyBorder="1" applyAlignment="1">
      <alignment horizontal="center" vertical="center" shrinkToFit="1"/>
    </xf>
    <xf numFmtId="0" fontId="5" fillId="33" borderId="70" xfId="0" applyFont="1" applyFill="1" applyBorder="1" applyAlignment="1">
      <alignment horizontal="center" vertical="center" shrinkToFit="1"/>
    </xf>
    <xf numFmtId="0" fontId="5" fillId="33" borderId="67"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105" xfId="0" applyFont="1" applyFill="1" applyBorder="1" applyAlignment="1">
      <alignment horizontal="center" vertical="center" shrinkToFit="1"/>
    </xf>
    <xf numFmtId="0" fontId="5" fillId="33" borderId="69" xfId="0" applyFont="1" applyFill="1" applyBorder="1" applyAlignment="1">
      <alignment horizontal="center" vertical="center" shrinkToFit="1"/>
    </xf>
    <xf numFmtId="0" fontId="5" fillId="33" borderId="51" xfId="0" applyFont="1" applyFill="1" applyBorder="1" applyAlignment="1">
      <alignment horizontal="center" vertical="center" shrinkToFit="1"/>
    </xf>
    <xf numFmtId="0" fontId="5" fillId="33" borderId="134" xfId="0" applyFont="1" applyFill="1" applyBorder="1" applyAlignment="1">
      <alignment horizontal="center" vertical="center" shrinkToFit="1"/>
    </xf>
    <xf numFmtId="38" fontId="5" fillId="33" borderId="192" xfId="49" applyFont="1" applyFill="1" applyBorder="1" applyAlignment="1">
      <alignment horizontal="center" vertical="center"/>
    </xf>
    <xf numFmtId="38" fontId="5" fillId="33" borderId="193" xfId="49" applyFont="1" applyFill="1" applyBorder="1" applyAlignment="1">
      <alignment horizontal="center" vertical="center"/>
    </xf>
    <xf numFmtId="38" fontId="5" fillId="33" borderId="35" xfId="49" applyFont="1" applyFill="1" applyBorder="1" applyAlignment="1">
      <alignment horizontal="center" vertical="center"/>
    </xf>
    <xf numFmtId="38" fontId="5" fillId="36" borderId="53" xfId="49" applyFont="1" applyFill="1" applyBorder="1" applyAlignment="1">
      <alignment horizontal="center" vertical="center"/>
    </xf>
    <xf numFmtId="38" fontId="5" fillId="33" borderId="42" xfId="49" applyFont="1" applyFill="1" applyBorder="1" applyAlignment="1">
      <alignment horizontal="distributed" vertical="center" wrapText="1"/>
    </xf>
    <xf numFmtId="0" fontId="0" fillId="0" borderId="36" xfId="0" applyBorder="1" applyAlignment="1">
      <alignment horizontal="distributed" vertical="center"/>
    </xf>
    <xf numFmtId="38" fontId="5" fillId="33" borderId="19" xfId="49" applyFont="1" applyFill="1" applyBorder="1" applyAlignment="1">
      <alignment horizontal="distributed" vertical="center"/>
    </xf>
    <xf numFmtId="38" fontId="5" fillId="33" borderId="128" xfId="49" applyFont="1" applyFill="1" applyBorder="1" applyAlignment="1">
      <alignment horizontal="distributed" vertical="center"/>
    </xf>
    <xf numFmtId="0" fontId="5" fillId="33" borderId="16" xfId="0" applyFont="1" applyFill="1" applyBorder="1" applyAlignment="1">
      <alignment horizontal="distributed" vertical="center"/>
    </xf>
    <xf numFmtId="0" fontId="5" fillId="37" borderId="99" xfId="0" applyFont="1" applyFill="1" applyBorder="1" applyAlignment="1">
      <alignment horizontal="distributed" vertical="center"/>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5" fillId="0" borderId="147" xfId="0" applyFont="1" applyBorder="1" applyAlignment="1">
      <alignment horizontal="center" vertical="center"/>
    </xf>
    <xf numFmtId="0" fontId="4" fillId="0" borderId="14" xfId="0" applyFont="1" applyBorder="1" applyAlignment="1">
      <alignment horizontal="distributed" vertical="center"/>
    </xf>
    <xf numFmtId="0" fontId="5" fillId="33" borderId="126"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141" xfId="0" applyFont="1" applyFill="1" applyBorder="1" applyAlignment="1">
      <alignment horizontal="center" vertical="center"/>
    </xf>
    <xf numFmtId="0" fontId="5" fillId="0" borderId="19" xfId="0" applyFont="1" applyBorder="1" applyAlignment="1">
      <alignment horizontal="distributed" vertical="center"/>
    </xf>
    <xf numFmtId="0" fontId="0" fillId="0" borderId="29" xfId="0" applyBorder="1" applyAlignment="1">
      <alignment horizontal="distributed" vertical="center"/>
    </xf>
    <xf numFmtId="0" fontId="5" fillId="33" borderId="57" xfId="0" applyFont="1" applyFill="1" applyBorder="1" applyAlignment="1">
      <alignment horizontal="center" vertical="center"/>
    </xf>
    <xf numFmtId="0" fontId="5" fillId="33" borderId="142" xfId="0" applyFont="1" applyFill="1" applyBorder="1" applyAlignment="1">
      <alignment horizontal="center" vertical="center"/>
    </xf>
    <xf numFmtId="0" fontId="5" fillId="33" borderId="18" xfId="0" applyFont="1" applyFill="1" applyBorder="1" applyAlignment="1">
      <alignment horizontal="center" vertical="center"/>
    </xf>
    <xf numFmtId="0" fontId="5" fillId="0" borderId="42" xfId="0" applyFont="1" applyBorder="1" applyAlignment="1">
      <alignment horizontal="center" vertical="center" textRotation="255"/>
    </xf>
    <xf numFmtId="0" fontId="5" fillId="0" borderId="142"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51" xfId="0" applyFont="1" applyBorder="1" applyAlignment="1">
      <alignment horizontal="right" vertical="center"/>
    </xf>
    <xf numFmtId="0" fontId="8" fillId="33" borderId="58" xfId="0" applyFont="1" applyFill="1" applyBorder="1" applyAlignment="1">
      <alignment horizontal="center" vertical="center" wrapText="1"/>
    </xf>
    <xf numFmtId="0" fontId="8" fillId="33" borderId="143" xfId="0" applyFont="1" applyFill="1" applyBorder="1" applyAlignment="1">
      <alignment horizontal="center" vertical="center" wrapText="1"/>
    </xf>
    <xf numFmtId="0" fontId="8" fillId="33" borderId="41" xfId="0" applyFont="1" applyFill="1" applyBorder="1" applyAlignment="1">
      <alignment horizontal="center" vertical="center" wrapText="1"/>
    </xf>
    <xf numFmtId="0" fontId="5" fillId="33" borderId="42" xfId="0" applyFont="1" applyFill="1" applyBorder="1" applyAlignment="1">
      <alignment horizontal="center" vertical="center"/>
    </xf>
    <xf numFmtId="0" fontId="5" fillId="33" borderId="42"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4" fillId="33" borderId="44" xfId="0" applyFont="1" applyFill="1" applyBorder="1" applyAlignment="1">
      <alignment horizontal="center" vertical="center" wrapText="1"/>
    </xf>
    <xf numFmtId="0" fontId="4" fillId="33" borderId="136"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197" xfId="0" applyFont="1" applyFill="1" applyBorder="1" applyAlignment="1">
      <alignment horizontal="left" vertical="center" wrapText="1"/>
    </xf>
    <xf numFmtId="0" fontId="4" fillId="33" borderId="198" xfId="0" applyFont="1" applyFill="1" applyBorder="1" applyAlignment="1">
      <alignment horizontal="left" vertical="center"/>
    </xf>
    <xf numFmtId="0" fontId="4" fillId="33" borderId="199" xfId="0" applyFont="1" applyFill="1" applyBorder="1" applyAlignment="1">
      <alignment horizontal="left" vertical="center"/>
    </xf>
    <xf numFmtId="0" fontId="4" fillId="33" borderId="200" xfId="0" applyFont="1" applyFill="1" applyBorder="1" applyAlignment="1">
      <alignment horizontal="left" vertical="center"/>
    </xf>
    <xf numFmtId="0" fontId="4" fillId="33" borderId="201" xfId="0" applyFont="1" applyFill="1" applyBorder="1" applyAlignment="1">
      <alignment horizontal="left" vertical="center"/>
    </xf>
    <xf numFmtId="0" fontId="4" fillId="33" borderId="202" xfId="0" applyFont="1" applyFill="1" applyBorder="1" applyAlignment="1">
      <alignment horizontal="left" vertical="center"/>
    </xf>
    <xf numFmtId="0" fontId="4" fillId="33" borderId="203" xfId="0" applyFont="1" applyFill="1" applyBorder="1" applyAlignment="1">
      <alignment horizontal="left" vertical="center"/>
    </xf>
    <xf numFmtId="0" fontId="4" fillId="33" borderId="204" xfId="0" applyFont="1" applyFill="1" applyBorder="1" applyAlignment="1">
      <alignment horizontal="left" vertical="center"/>
    </xf>
    <xf numFmtId="0" fontId="4" fillId="33" borderId="205" xfId="0" applyFont="1" applyFill="1" applyBorder="1" applyAlignment="1">
      <alignment horizontal="left" vertical="center"/>
    </xf>
    <xf numFmtId="0" fontId="8" fillId="33" borderId="70" xfId="0" applyFont="1" applyFill="1" applyBorder="1" applyAlignment="1">
      <alignment horizontal="center" vertical="center" wrapText="1"/>
    </xf>
    <xf numFmtId="0" fontId="8" fillId="33" borderId="105" xfId="0" applyFont="1" applyFill="1" applyBorder="1" applyAlignment="1">
      <alignment horizontal="center" vertical="center" wrapText="1"/>
    </xf>
    <xf numFmtId="0" fontId="8" fillId="33" borderId="84"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4" fillId="33" borderId="142"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5" fillId="33" borderId="52"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27" xfId="0" applyFont="1" applyFill="1" applyBorder="1" applyAlignment="1">
      <alignment horizontal="center" vertical="center"/>
    </xf>
    <xf numFmtId="0" fontId="5" fillId="0" borderId="19" xfId="0" applyFont="1" applyBorder="1" applyAlignment="1">
      <alignment horizontal="left" vertical="center"/>
    </xf>
    <xf numFmtId="0" fontId="5" fillId="0" borderId="29" xfId="0" applyFont="1" applyBorder="1" applyAlignment="1">
      <alignment horizontal="left" vertical="center"/>
    </xf>
    <xf numFmtId="0" fontId="5" fillId="0" borderId="128" xfId="0" applyFont="1" applyBorder="1" applyAlignment="1">
      <alignment horizontal="left" vertical="center"/>
    </xf>
    <xf numFmtId="0" fontId="5" fillId="0" borderId="80" xfId="0" applyFont="1" applyBorder="1" applyAlignment="1">
      <alignment horizontal="left" vertical="center"/>
    </xf>
    <xf numFmtId="0" fontId="5" fillId="0" borderId="90" xfId="0" applyFont="1" applyBorder="1" applyAlignment="1">
      <alignment horizontal="left" vertical="center"/>
    </xf>
    <xf numFmtId="0" fontId="5" fillId="0" borderId="31" xfId="0" applyFont="1" applyBorder="1" applyAlignment="1">
      <alignment horizontal="left" vertical="center"/>
    </xf>
    <xf numFmtId="0" fontId="5" fillId="0" borderId="127" xfId="0" applyFont="1" applyBorder="1" applyAlignment="1">
      <alignment horizontal="left" vertical="center"/>
    </xf>
    <xf numFmtId="0" fontId="5" fillId="0" borderId="79" xfId="0" applyFont="1" applyBorder="1" applyAlignment="1">
      <alignment horizontal="left" vertical="center"/>
    </xf>
    <xf numFmtId="0" fontId="5" fillId="0" borderId="123" xfId="0" applyFont="1" applyBorder="1" applyAlignment="1">
      <alignment horizontal="left" vertical="center"/>
    </xf>
    <xf numFmtId="0" fontId="5" fillId="34" borderId="146" xfId="0" applyFont="1" applyFill="1" applyBorder="1" applyAlignment="1">
      <alignment horizontal="center" vertical="center" textRotation="255" shrinkToFit="1"/>
    </xf>
    <xf numFmtId="0" fontId="5" fillId="34" borderId="147" xfId="0" applyFont="1" applyFill="1" applyBorder="1" applyAlignment="1">
      <alignment horizontal="center" vertical="center" textRotation="255" shrinkToFit="1"/>
    </xf>
    <xf numFmtId="0" fontId="5" fillId="0" borderId="133" xfId="0" applyFont="1" applyBorder="1" applyAlignment="1">
      <alignment horizontal="left" vertical="center"/>
    </xf>
    <xf numFmtId="0" fontId="5" fillId="0" borderId="189" xfId="0" applyFont="1" applyBorder="1" applyAlignment="1">
      <alignment horizontal="left" vertical="center"/>
    </xf>
    <xf numFmtId="0" fontId="5" fillId="0" borderId="206" xfId="0" applyFont="1" applyBorder="1" applyAlignment="1">
      <alignment horizontal="left" vertical="center"/>
    </xf>
    <xf numFmtId="0" fontId="5" fillId="36" borderId="207" xfId="0" applyFont="1" applyFill="1" applyBorder="1" applyAlignment="1">
      <alignment horizontal="center" vertical="center" textRotation="255"/>
    </xf>
    <xf numFmtId="0" fontId="5" fillId="36" borderId="146" xfId="0" applyFont="1" applyFill="1" applyBorder="1" applyAlignment="1">
      <alignment horizontal="center" vertical="center" textRotation="255"/>
    </xf>
    <xf numFmtId="0" fontId="5" fillId="36" borderId="191" xfId="0" applyFont="1" applyFill="1" applyBorder="1" applyAlignment="1">
      <alignment horizontal="center" vertical="center" textRotation="255"/>
    </xf>
    <xf numFmtId="0" fontId="5" fillId="0" borderId="126" xfId="0" applyFont="1" applyBorder="1" applyAlignment="1">
      <alignment horizontal="left" vertical="center"/>
    </xf>
    <xf numFmtId="0" fontId="5" fillId="0" borderId="53" xfId="0" applyFont="1" applyBorder="1" applyAlignment="1">
      <alignment horizontal="left" vertical="center"/>
    </xf>
    <xf numFmtId="0" fontId="5" fillId="0" borderId="141" xfId="0" applyFont="1" applyBorder="1" applyAlignment="1">
      <alignment horizontal="left" vertical="center"/>
    </xf>
    <xf numFmtId="0" fontId="5" fillId="33" borderId="36" xfId="0" applyFont="1" applyFill="1" applyBorder="1" applyAlignment="1">
      <alignment horizontal="center" vertical="center"/>
    </xf>
    <xf numFmtId="0" fontId="4" fillId="33" borderId="58"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1" fillId="0" borderId="0" xfId="0" applyFont="1" applyAlignment="1">
      <alignment horizontal="left" vertical="center"/>
    </xf>
    <xf numFmtId="0" fontId="5" fillId="33" borderId="197" xfId="0" applyFont="1" applyFill="1" applyBorder="1" applyAlignment="1">
      <alignment horizontal="left" vertical="center" wrapText="1"/>
    </xf>
    <xf numFmtId="0" fontId="5" fillId="33" borderId="198" xfId="0" applyFont="1" applyFill="1" applyBorder="1" applyAlignment="1">
      <alignment horizontal="left" vertical="center"/>
    </xf>
    <xf numFmtId="0" fontId="5" fillId="33" borderId="199" xfId="0" applyFont="1" applyFill="1" applyBorder="1" applyAlignment="1">
      <alignment horizontal="left" vertical="center"/>
    </xf>
    <xf numFmtId="0" fontId="5" fillId="33" borderId="208" xfId="0" applyFont="1" applyFill="1" applyBorder="1" applyAlignment="1">
      <alignment horizontal="left" vertical="center"/>
    </xf>
    <xf numFmtId="0" fontId="5" fillId="33" borderId="209" xfId="0" applyFont="1" applyFill="1" applyBorder="1" applyAlignment="1">
      <alignment horizontal="left" vertical="center"/>
    </xf>
    <xf numFmtId="0" fontId="5" fillId="33" borderId="210" xfId="0" applyFont="1" applyFill="1" applyBorder="1" applyAlignment="1">
      <alignment horizontal="left" vertical="center"/>
    </xf>
    <xf numFmtId="0" fontId="5" fillId="34" borderId="181" xfId="0" applyFont="1" applyFill="1" applyBorder="1" applyAlignment="1">
      <alignment horizontal="center" vertical="center" textRotation="255" shrinkToFit="1"/>
    </xf>
    <xf numFmtId="0" fontId="5" fillId="0" borderId="16" xfId="0" applyFont="1" applyBorder="1" applyAlignment="1">
      <alignment horizontal="left" vertical="center"/>
    </xf>
    <xf numFmtId="0" fontId="0" fillId="0" borderId="37" xfId="0" applyBorder="1" applyAlignment="1">
      <alignment horizontal="center" vertical="center" wrapText="1"/>
    </xf>
    <xf numFmtId="0" fontId="4" fillId="33" borderId="36" xfId="0" applyFont="1" applyFill="1" applyBorder="1" applyAlignment="1">
      <alignment horizontal="center" vertical="center" wrapText="1"/>
    </xf>
    <xf numFmtId="0" fontId="0" fillId="0" borderId="36" xfId="0" applyBorder="1" applyAlignment="1">
      <alignment horizontal="center" vertical="center" wrapText="1"/>
    </xf>
    <xf numFmtId="178" fontId="5" fillId="0" borderId="51" xfId="0" applyNumberFormat="1" applyFont="1" applyBorder="1" applyAlignment="1">
      <alignment horizontal="center" vertical="center"/>
    </xf>
    <xf numFmtId="0" fontId="5" fillId="0" borderId="43" xfId="0" applyFont="1" applyBorder="1" applyAlignment="1">
      <alignment horizontal="left" vertical="center"/>
    </xf>
    <xf numFmtId="0" fontId="5" fillId="0" borderId="211" xfId="0" applyFont="1" applyBorder="1" applyAlignment="1">
      <alignment horizontal="left" vertical="center"/>
    </xf>
    <xf numFmtId="0" fontId="5" fillId="0" borderId="74" xfId="0" applyFont="1" applyBorder="1" applyAlignment="1">
      <alignment horizontal="left" vertical="center"/>
    </xf>
    <xf numFmtId="0" fontId="5" fillId="33" borderId="212" xfId="0" applyFont="1" applyFill="1" applyBorder="1" applyAlignment="1">
      <alignment horizontal="left" vertical="center"/>
    </xf>
    <xf numFmtId="0" fontId="5" fillId="33" borderId="213" xfId="0" applyFont="1" applyFill="1" applyBorder="1" applyAlignment="1">
      <alignment horizontal="left" vertical="center"/>
    </xf>
    <xf numFmtId="0" fontId="5" fillId="33" borderId="207" xfId="0" applyFont="1" applyFill="1" applyBorder="1" applyAlignment="1">
      <alignment horizontal="center" vertical="center"/>
    </xf>
    <xf numFmtId="0" fontId="5" fillId="33" borderId="147" xfId="0" applyFont="1" applyFill="1" applyBorder="1" applyAlignment="1">
      <alignment horizontal="center" vertical="center"/>
    </xf>
    <xf numFmtId="0" fontId="5" fillId="0" borderId="29" xfId="0" applyFont="1" applyBorder="1" applyAlignment="1">
      <alignment horizontal="distributed" vertical="center"/>
    </xf>
    <xf numFmtId="0" fontId="5" fillId="0" borderId="128" xfId="0" applyFont="1" applyBorder="1" applyAlignment="1">
      <alignment horizontal="distributed" vertical="center"/>
    </xf>
    <xf numFmtId="0" fontId="5" fillId="0" borderId="90" xfId="0" applyFont="1" applyBorder="1" applyAlignment="1">
      <alignment horizontal="distributed" vertical="center"/>
    </xf>
    <xf numFmtId="0" fontId="8" fillId="0" borderId="42" xfId="0" applyFont="1" applyBorder="1" applyAlignment="1">
      <alignment horizontal="center" vertical="center" textRotation="255"/>
    </xf>
    <xf numFmtId="0" fontId="8" fillId="0" borderId="142" xfId="0" applyFont="1" applyBorder="1" applyAlignment="1">
      <alignment horizontal="center" vertical="center" textRotation="255"/>
    </xf>
    <xf numFmtId="0" fontId="5" fillId="0" borderId="127" xfId="0" applyFont="1" applyBorder="1" applyAlignment="1">
      <alignment horizontal="distributed" vertical="center"/>
    </xf>
    <xf numFmtId="0" fontId="5" fillId="0" borderId="123" xfId="0" applyFont="1" applyBorder="1" applyAlignment="1">
      <alignment horizontal="distributed" vertical="center"/>
    </xf>
    <xf numFmtId="0" fontId="5" fillId="34" borderId="146" xfId="0" applyFont="1" applyFill="1" applyBorder="1" applyAlignment="1">
      <alignment vertical="center" textRotation="255"/>
    </xf>
    <xf numFmtId="0" fontId="5" fillId="34" borderId="147" xfId="0" applyFont="1" applyFill="1" applyBorder="1" applyAlignment="1">
      <alignment vertical="center" textRotation="255"/>
    </xf>
    <xf numFmtId="0" fontId="5" fillId="0" borderId="18" xfId="0" applyFont="1" applyBorder="1" applyAlignment="1">
      <alignment horizontal="distributed"/>
    </xf>
    <xf numFmtId="0" fontId="5" fillId="0" borderId="42" xfId="0" applyFont="1" applyBorder="1" applyAlignment="1">
      <alignment horizontal="center"/>
    </xf>
    <xf numFmtId="0" fontId="5" fillId="0" borderId="142" xfId="0" applyFont="1" applyBorder="1" applyAlignment="1">
      <alignment horizontal="center"/>
    </xf>
    <xf numFmtId="0" fontId="5" fillId="0" borderId="36" xfId="0" applyFont="1" applyBorder="1" applyAlignment="1">
      <alignment horizontal="center"/>
    </xf>
    <xf numFmtId="0" fontId="5" fillId="33" borderId="57" xfId="0" applyFont="1" applyFill="1" applyBorder="1" applyAlignment="1">
      <alignment horizontal="center" vertical="center" wrapText="1"/>
    </xf>
    <xf numFmtId="0" fontId="5" fillId="33" borderId="142"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98"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43" xfId="0" applyFont="1" applyFill="1" applyBorder="1" applyAlignment="1">
      <alignment horizontal="center" vertical="center"/>
    </xf>
    <xf numFmtId="0" fontId="5" fillId="36" borderId="214" xfId="0" applyFont="1" applyFill="1" applyBorder="1" applyAlignment="1">
      <alignment horizontal="center" vertical="center"/>
    </xf>
    <xf numFmtId="0" fontId="5" fillId="36" borderId="100" xfId="0" applyFont="1" applyFill="1" applyBorder="1" applyAlignment="1">
      <alignment horizontal="center" vertical="center"/>
    </xf>
    <xf numFmtId="0" fontId="5" fillId="36" borderId="101" xfId="0" applyFont="1" applyFill="1" applyBorder="1" applyAlignment="1">
      <alignment horizontal="center" vertical="center"/>
    </xf>
    <xf numFmtId="0" fontId="5" fillId="0" borderId="59" xfId="0" applyFont="1" applyBorder="1" applyAlignment="1">
      <alignment horizontal="distributed"/>
    </xf>
    <xf numFmtId="0" fontId="5" fillId="0" borderId="38" xfId="0" applyFont="1" applyBorder="1" applyAlignment="1">
      <alignment horizontal="center"/>
    </xf>
    <xf numFmtId="0" fontId="4" fillId="33" borderId="59"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5" fillId="33" borderId="197" xfId="0" applyFont="1" applyFill="1" applyBorder="1" applyAlignment="1">
      <alignment horizontal="left" wrapText="1"/>
    </xf>
    <xf numFmtId="0" fontId="5" fillId="33" borderId="198" xfId="0" applyFont="1" applyFill="1" applyBorder="1" applyAlignment="1">
      <alignment horizontal="left"/>
    </xf>
    <xf numFmtId="0" fontId="5" fillId="33" borderId="199" xfId="0" applyFont="1" applyFill="1" applyBorder="1" applyAlignment="1">
      <alignment horizontal="left"/>
    </xf>
    <xf numFmtId="0" fontId="5" fillId="33" borderId="200" xfId="0" applyFont="1" applyFill="1" applyBorder="1" applyAlignment="1">
      <alignment horizontal="left"/>
    </xf>
    <xf numFmtId="0" fontId="5" fillId="33" borderId="201" xfId="0" applyFont="1" applyFill="1" applyBorder="1" applyAlignment="1">
      <alignment horizontal="left"/>
    </xf>
    <xf numFmtId="0" fontId="5" fillId="33" borderId="202" xfId="0" applyFont="1" applyFill="1" applyBorder="1" applyAlignment="1">
      <alignment horizontal="left"/>
    </xf>
    <xf numFmtId="0" fontId="5" fillId="33" borderId="208" xfId="0" applyFont="1" applyFill="1" applyBorder="1" applyAlignment="1">
      <alignment horizontal="left"/>
    </xf>
    <xf numFmtId="0" fontId="5" fillId="33" borderId="209" xfId="0" applyFont="1" applyFill="1" applyBorder="1" applyAlignment="1">
      <alignment horizontal="left"/>
    </xf>
    <xf numFmtId="0" fontId="5" fillId="33" borderId="210" xfId="0" applyFont="1" applyFill="1" applyBorder="1" applyAlignment="1">
      <alignment horizontal="left"/>
    </xf>
    <xf numFmtId="0" fontId="5" fillId="33" borderId="59"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6" xfId="0" applyFont="1" applyFill="1" applyBorder="1" applyAlignment="1">
      <alignment horizontal="center" vertical="center"/>
    </xf>
    <xf numFmtId="0" fontId="12" fillId="0" borderId="14" xfId="0" applyFont="1" applyBorder="1" applyAlignment="1">
      <alignment horizontal="center" vertical="center" wrapText="1"/>
    </xf>
    <xf numFmtId="0" fontId="12" fillId="0" borderId="20" xfId="0" applyFont="1" applyBorder="1" applyAlignment="1">
      <alignment horizontal="center" vertical="center" wrapText="1"/>
    </xf>
    <xf numFmtId="0" fontId="3" fillId="0" borderId="109" xfId="0" applyFont="1" applyBorder="1" applyAlignment="1">
      <alignment horizontal="center" vertical="center" wrapText="1"/>
    </xf>
    <xf numFmtId="0" fontId="3" fillId="0" borderId="215" xfId="0" applyFont="1" applyBorder="1" applyAlignment="1">
      <alignment horizontal="center" vertical="center" wrapText="1"/>
    </xf>
    <xf numFmtId="0" fontId="12" fillId="0" borderId="68" xfId="0" applyFont="1" applyBorder="1" applyAlignment="1">
      <alignment horizontal="center" vertical="center"/>
    </xf>
    <xf numFmtId="0" fontId="12" fillId="0" borderId="49" xfId="0" applyFont="1" applyBorder="1" applyAlignment="1">
      <alignment horizontal="center" vertical="center"/>
    </xf>
    <xf numFmtId="0" fontId="12" fillId="0" borderId="52" xfId="0" applyFont="1" applyBorder="1" applyAlignment="1">
      <alignment horizontal="center" vertical="center"/>
    </xf>
    <xf numFmtId="0" fontId="12" fillId="0" borderId="67" xfId="0" applyFont="1" applyBorder="1" applyAlignment="1">
      <alignment horizontal="center" vertical="center"/>
    </xf>
    <xf numFmtId="0" fontId="12" fillId="0" borderId="0" xfId="0" applyFont="1" applyBorder="1" applyAlignment="1">
      <alignment horizontal="center" vertical="center"/>
    </xf>
    <xf numFmtId="0" fontId="12" fillId="0" borderId="48" xfId="0" applyFont="1" applyBorder="1" applyAlignment="1">
      <alignment horizontal="center" vertical="center"/>
    </xf>
    <xf numFmtId="0" fontId="12" fillId="0" borderId="216" xfId="0" applyFont="1" applyBorder="1" applyAlignment="1">
      <alignment horizontal="center" vertical="center"/>
    </xf>
    <xf numFmtId="0" fontId="12" fillId="0" borderId="65" xfId="0" applyFont="1" applyBorder="1" applyAlignment="1">
      <alignment horizontal="center" vertical="center"/>
    </xf>
    <xf numFmtId="0" fontId="12" fillId="0" borderId="27" xfId="0" applyFont="1" applyBorder="1" applyAlignment="1">
      <alignment horizontal="center" vertical="center"/>
    </xf>
    <xf numFmtId="0" fontId="12" fillId="37" borderId="44"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52" xfId="0" applyBorder="1" applyAlignment="1">
      <alignment horizontal="center" vertical="center" wrapText="1"/>
    </xf>
    <xf numFmtId="0" fontId="12" fillId="37" borderId="28" xfId="0" applyFont="1" applyFill="1" applyBorder="1" applyAlignment="1">
      <alignment horizontal="center" vertical="center" wrapText="1"/>
    </xf>
    <xf numFmtId="0" fontId="0" fillId="0" borderId="65" xfId="0" applyBorder="1" applyAlignment="1">
      <alignment horizontal="center" vertical="center" wrapText="1"/>
    </xf>
    <xf numFmtId="0" fontId="0" fillId="0" borderId="27" xfId="0" applyBorder="1" applyAlignment="1">
      <alignment horizontal="center" vertical="center" wrapText="1"/>
    </xf>
    <xf numFmtId="0" fontId="12" fillId="36" borderId="126"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211" xfId="0" applyBorder="1" applyAlignment="1">
      <alignment horizontal="center" vertical="center" wrapText="1"/>
    </xf>
    <xf numFmtId="0" fontId="12" fillId="0" borderId="19"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29" xfId="0" applyFont="1" applyBorder="1" applyAlignment="1">
      <alignment horizontal="center" vertical="center" wrapText="1"/>
    </xf>
    <xf numFmtId="0" fontId="0" fillId="0" borderId="14" xfId="0" applyBorder="1" applyAlignment="1">
      <alignment horizontal="center" vertical="center" wrapText="1"/>
    </xf>
    <xf numFmtId="0" fontId="3" fillId="0" borderId="110" xfId="0" applyFont="1" applyBorder="1" applyAlignment="1">
      <alignment horizontal="center" vertical="center" wrapText="1"/>
    </xf>
    <xf numFmtId="0" fontId="12" fillId="0" borderId="110" xfId="0" applyFont="1" applyBorder="1" applyAlignment="1">
      <alignment horizontal="center" vertical="center" wrapText="1"/>
    </xf>
    <xf numFmtId="0" fontId="12" fillId="0" borderId="215" xfId="0" applyFont="1" applyBorder="1" applyAlignment="1">
      <alignment horizontal="center" vertical="center" wrapText="1"/>
    </xf>
    <xf numFmtId="0" fontId="12" fillId="0" borderId="138" xfId="0" applyFont="1" applyBorder="1" applyAlignment="1">
      <alignment horizontal="center" vertical="center"/>
    </xf>
    <xf numFmtId="0" fontId="12" fillId="0" borderId="217" xfId="0" applyFont="1" applyBorder="1" applyAlignment="1">
      <alignment horizontal="center" vertical="center"/>
    </xf>
    <xf numFmtId="0" fontId="12" fillId="0" borderId="218" xfId="0" applyFont="1" applyBorder="1" applyAlignment="1">
      <alignment horizontal="center" vertical="center"/>
    </xf>
    <xf numFmtId="0" fontId="12" fillId="37" borderId="49" xfId="0" applyFont="1" applyFill="1" applyBorder="1" applyAlignment="1">
      <alignment horizontal="left" vertical="center" wrapText="1"/>
    </xf>
    <xf numFmtId="0" fontId="12" fillId="37" borderId="65" xfId="0" applyFont="1" applyFill="1" applyBorder="1" applyAlignment="1">
      <alignment horizontal="left" vertical="center" wrapText="1"/>
    </xf>
    <xf numFmtId="0" fontId="12" fillId="0" borderId="118" xfId="0" applyFont="1" applyBorder="1" applyAlignment="1">
      <alignment horizontal="center" vertical="center" wrapText="1"/>
    </xf>
    <xf numFmtId="0" fontId="12" fillId="0" borderId="219" xfId="0" applyFont="1" applyBorder="1" applyAlignment="1">
      <alignment horizontal="center" vertical="center" wrapText="1"/>
    </xf>
    <xf numFmtId="178" fontId="5" fillId="0" borderId="0" xfId="0" applyNumberFormat="1" applyFont="1" applyBorder="1" applyAlignment="1">
      <alignment vertical="center" wrapText="1"/>
    </xf>
    <xf numFmtId="178" fontId="5" fillId="0" borderId="0" xfId="0" applyNumberFormat="1" applyFont="1" applyBorder="1" applyAlignment="1">
      <alignment vertical="center"/>
    </xf>
    <xf numFmtId="178" fontId="5" fillId="0" borderId="0" xfId="0" applyNumberFormat="1" applyFont="1" applyAlignment="1">
      <alignment vertical="center"/>
    </xf>
    <xf numFmtId="178" fontId="1" fillId="0" borderId="0" xfId="0" applyNumberFormat="1" applyFont="1" applyAlignment="1">
      <alignment horizontal="left" vertical="center"/>
    </xf>
    <xf numFmtId="178" fontId="5" fillId="35" borderId="207" xfId="0" applyNumberFormat="1" applyFont="1" applyFill="1" applyBorder="1" applyAlignment="1">
      <alignment horizontal="center" vertical="center" shrinkToFit="1"/>
    </xf>
    <xf numFmtId="178" fontId="5" fillId="35" borderId="146" xfId="0" applyNumberFormat="1" applyFont="1" applyFill="1" applyBorder="1" applyAlignment="1">
      <alignment horizontal="center" vertical="center" shrinkToFit="1"/>
    </xf>
    <xf numFmtId="178" fontId="4" fillId="33" borderId="126" xfId="0" applyNumberFormat="1" applyFont="1" applyFill="1" applyBorder="1" applyAlignment="1">
      <alignment horizontal="center" vertical="center" shrinkToFit="1"/>
    </xf>
    <xf numFmtId="178" fontId="4" fillId="33" borderId="141" xfId="0" applyNumberFormat="1" applyFont="1" applyFill="1" applyBorder="1" applyAlignment="1">
      <alignment horizontal="center" vertical="center" shrinkToFit="1"/>
    </xf>
    <xf numFmtId="0" fontId="5" fillId="0" borderId="220" xfId="0" applyFont="1" applyFill="1" applyBorder="1" applyAlignment="1">
      <alignment horizontal="center" vertical="center"/>
    </xf>
    <xf numFmtId="0" fontId="5" fillId="0" borderId="12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142"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33" borderId="126"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211" xfId="0" applyFont="1" applyFill="1" applyBorder="1" applyAlignment="1">
      <alignment horizontal="center" vertical="center" wrapText="1"/>
    </xf>
    <xf numFmtId="0" fontId="1" fillId="0" borderId="0" xfId="0" applyFont="1" applyFill="1" applyAlignment="1">
      <alignment horizontal="left" vertical="center"/>
    </xf>
    <xf numFmtId="0" fontId="21" fillId="45" borderId="18" xfId="0" applyFont="1" applyFill="1" applyBorder="1" applyAlignment="1">
      <alignment horizontal="center"/>
    </xf>
    <xf numFmtId="0" fontId="21" fillId="50" borderId="18" xfId="0" applyFont="1" applyFill="1" applyBorder="1" applyAlignment="1">
      <alignment horizontal="center"/>
    </xf>
    <xf numFmtId="0" fontId="21" fillId="50" borderId="28" xfId="0" applyFont="1" applyFill="1" applyBorder="1" applyAlignment="1">
      <alignment horizontal="center"/>
    </xf>
    <xf numFmtId="0" fontId="22" fillId="47" borderId="19" xfId="0" applyFont="1" applyFill="1" applyBorder="1" applyAlignment="1">
      <alignment horizontal="distributed" vertical="center"/>
    </xf>
    <xf numFmtId="0" fontId="22" fillId="47" borderId="31" xfId="0" applyFont="1" applyFill="1" applyBorder="1" applyAlignment="1">
      <alignment horizontal="distributed" vertical="center"/>
    </xf>
    <xf numFmtId="0" fontId="22" fillId="47" borderId="29" xfId="0" applyFont="1" applyFill="1" applyBorder="1" applyAlignment="1">
      <alignment horizontal="distributed" vertical="center"/>
    </xf>
    <xf numFmtId="0" fontId="22" fillId="47" borderId="128" xfId="0" applyFont="1" applyFill="1" applyBorder="1" applyAlignment="1">
      <alignment horizontal="distributed" vertical="center"/>
    </xf>
    <xf numFmtId="0" fontId="22" fillId="47" borderId="80" xfId="0" applyFont="1" applyFill="1" applyBorder="1" applyAlignment="1">
      <alignment horizontal="distributed" vertical="center"/>
    </xf>
    <xf numFmtId="0" fontId="22" fillId="47" borderId="90" xfId="0" applyFont="1" applyFill="1" applyBorder="1" applyAlignment="1">
      <alignment horizontal="distributed" vertical="center"/>
    </xf>
    <xf numFmtId="0" fontId="22" fillId="0" borderId="14" xfId="0" applyFont="1" applyBorder="1" applyAlignment="1">
      <alignment horizontal="distributed" vertical="center"/>
    </xf>
    <xf numFmtId="0" fontId="22" fillId="0" borderId="14" xfId="0" applyFont="1" applyBorder="1" applyAlignment="1">
      <alignment horizontal="center" vertical="center" textRotation="255" shrinkToFit="1"/>
    </xf>
    <xf numFmtId="0" fontId="22" fillId="0" borderId="142" xfId="0" applyFont="1" applyBorder="1" applyAlignment="1">
      <alignment horizontal="distributed" vertical="center"/>
    </xf>
    <xf numFmtId="0" fontId="22" fillId="0" borderId="18" xfId="0" applyFont="1" applyBorder="1" applyAlignment="1">
      <alignment/>
    </xf>
    <xf numFmtId="0" fontId="22" fillId="0" borderId="19" xfId="0" applyFont="1" applyBorder="1" applyAlignment="1">
      <alignment horizontal="distributed" vertical="center"/>
    </xf>
    <xf numFmtId="0" fontId="22" fillId="0" borderId="29" xfId="0" applyFont="1" applyBorder="1" applyAlignment="1">
      <alignment horizontal="distributed" vertical="center"/>
    </xf>
    <xf numFmtId="0" fontId="22" fillId="0" borderId="29" xfId="0" applyFont="1" applyBorder="1" applyAlignment="1">
      <alignment/>
    </xf>
    <xf numFmtId="0" fontId="21" fillId="0" borderId="19" xfId="0" applyFont="1" applyBorder="1" applyAlignment="1">
      <alignment horizontal="distributed" vertical="center" shrinkToFit="1"/>
    </xf>
    <xf numFmtId="0" fontId="21" fillId="0" borderId="29" xfId="0" applyFont="1" applyBorder="1" applyAlignment="1">
      <alignment shrinkToFit="1"/>
    </xf>
    <xf numFmtId="0" fontId="22" fillId="45" borderId="27" xfId="0" applyFont="1" applyFill="1" applyBorder="1" applyAlignment="1">
      <alignment horizontal="distributed" vertical="center"/>
    </xf>
    <xf numFmtId="0" fontId="22" fillId="45" borderId="18" xfId="0" applyFont="1" applyFill="1" applyBorder="1" applyAlignment="1">
      <alignment horizontal="distributed" vertical="center"/>
    </xf>
    <xf numFmtId="0" fontId="22" fillId="0" borderId="65" xfId="0" applyFont="1" applyBorder="1" applyAlignment="1">
      <alignment horizontal="distributed" vertical="center"/>
    </xf>
    <xf numFmtId="0" fontId="22" fillId="0" borderId="27" xfId="0" applyFont="1" applyBorder="1" applyAlignment="1">
      <alignment horizontal="distributed" vertical="center"/>
    </xf>
    <xf numFmtId="0" fontId="22" fillId="47" borderId="27" xfId="0" applyFont="1" applyFill="1" applyBorder="1" applyAlignment="1">
      <alignment horizontal="distributed" vertical="center"/>
    </xf>
    <xf numFmtId="0" fontId="22" fillId="47" borderId="18" xfId="0" applyFont="1" applyFill="1" applyBorder="1" applyAlignment="1">
      <alignment horizontal="distributed" vertical="center"/>
    </xf>
    <xf numFmtId="0" fontId="0" fillId="0" borderId="4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199" fontId="0" fillId="0" borderId="0" xfId="0" applyNumberFormat="1" applyBorder="1" applyAlignment="1">
      <alignment/>
    </xf>
    <xf numFmtId="0" fontId="22" fillId="45" borderId="65" xfId="0" applyFont="1" applyFill="1" applyBorder="1" applyAlignment="1">
      <alignment horizontal="center" vertical="center"/>
    </xf>
    <xf numFmtId="0" fontId="22" fillId="45" borderId="27" xfId="0" applyFont="1" applyFill="1" applyBorder="1" applyAlignment="1">
      <alignment horizontal="center" vertical="center"/>
    </xf>
    <xf numFmtId="0" fontId="22" fillId="44" borderId="19" xfId="0" applyFont="1" applyFill="1" applyBorder="1" applyAlignment="1">
      <alignment horizontal="distributed" vertical="center" shrinkToFit="1"/>
    </xf>
    <xf numFmtId="0" fontId="22" fillId="44" borderId="29" xfId="0" applyFont="1" applyFill="1" applyBorder="1" applyAlignment="1">
      <alignment horizontal="distributed" vertical="center" shrinkToFit="1"/>
    </xf>
    <xf numFmtId="0" fontId="22" fillId="0" borderId="55" xfId="0" applyFont="1" applyBorder="1" applyAlignment="1">
      <alignment horizontal="distributed" vertical="center" shrinkToFit="1"/>
    </xf>
    <xf numFmtId="0" fontId="22" fillId="0" borderId="124" xfId="0" applyFont="1" applyBorder="1" applyAlignment="1">
      <alignment horizontal="distributed" vertical="center" shrinkToFit="1"/>
    </xf>
    <xf numFmtId="0" fontId="22" fillId="0" borderId="65" xfId="0" applyFont="1" applyBorder="1" applyAlignment="1">
      <alignment horizontal="distributed" vertical="center" shrinkToFit="1"/>
    </xf>
    <xf numFmtId="0" fontId="22" fillId="0" borderId="27" xfId="0" applyFont="1" applyBorder="1" applyAlignment="1">
      <alignment horizontal="distributed" vertical="center" shrinkToFit="1"/>
    </xf>
    <xf numFmtId="38" fontId="5" fillId="51" borderId="221" xfId="49" applyFont="1" applyFill="1" applyBorder="1" applyAlignment="1">
      <alignment horizontal="distributed" vertical="center" wrapText="1"/>
    </xf>
    <xf numFmtId="38" fontId="5" fillId="51" borderId="19" xfId="49" applyFont="1" applyFill="1" applyBorder="1" applyAlignment="1">
      <alignment horizontal="distributed" vertical="center"/>
    </xf>
    <xf numFmtId="38" fontId="5" fillId="51" borderId="128" xfId="49" applyFont="1" applyFill="1" applyBorder="1" applyAlignment="1">
      <alignment horizontal="distributed" vertical="center"/>
    </xf>
    <xf numFmtId="38" fontId="5" fillId="50" borderId="14" xfId="49" applyFont="1" applyFill="1" applyBorder="1" applyAlignment="1">
      <alignment horizontal="distributed" vertical="center"/>
    </xf>
    <xf numFmtId="38" fontId="5" fillId="50" borderId="16" xfId="49" applyFont="1" applyFill="1" applyBorder="1" applyAlignment="1">
      <alignment horizontal="distributed" vertical="center"/>
    </xf>
    <xf numFmtId="38" fontId="5" fillId="50" borderId="19" xfId="49" applyFont="1" applyFill="1" applyBorder="1" applyAlignment="1">
      <alignment horizontal="distributed" vertical="center"/>
    </xf>
    <xf numFmtId="0" fontId="5" fillId="50" borderId="31" xfId="0" applyFont="1" applyFill="1" applyBorder="1" applyAlignment="1">
      <alignment horizontal="distributed" vertical="center"/>
    </xf>
    <xf numFmtId="0" fontId="5" fillId="50" borderId="29" xfId="0" applyFont="1" applyFill="1" applyBorder="1" applyAlignment="1">
      <alignment horizontal="distributed" vertical="center"/>
    </xf>
    <xf numFmtId="0" fontId="5" fillId="50" borderId="42" xfId="0" applyFont="1" applyFill="1" applyBorder="1" applyAlignment="1">
      <alignment horizontal="distributed" vertical="center" wrapText="1"/>
    </xf>
    <xf numFmtId="0" fontId="5" fillId="50" borderId="36" xfId="0" applyFont="1" applyFill="1" applyBorder="1" applyAlignment="1">
      <alignment horizontal="distributed" vertical="center" wrapText="1"/>
    </xf>
    <xf numFmtId="38" fontId="5" fillId="50" borderId="14" xfId="49" applyFont="1" applyFill="1" applyBorder="1" applyAlignment="1">
      <alignment horizontal="distributed" vertical="center" wrapText="1"/>
    </xf>
    <xf numFmtId="38" fontId="8" fillId="50" borderId="14" xfId="49" applyFont="1" applyFill="1" applyBorder="1" applyAlignment="1">
      <alignment horizontal="distributed" vertical="center" wrapText="1"/>
    </xf>
    <xf numFmtId="38" fontId="8" fillId="50" borderId="16" xfId="49" applyFont="1" applyFill="1" applyBorder="1" applyAlignment="1">
      <alignment horizontal="distributed" vertical="center"/>
    </xf>
    <xf numFmtId="0" fontId="4" fillId="0" borderId="55" xfId="0" applyFont="1" applyBorder="1" applyAlignment="1">
      <alignment horizontal="distributed" vertical="center"/>
    </xf>
    <xf numFmtId="0" fontId="4" fillId="0" borderId="124" xfId="0" applyFont="1" applyBorder="1" applyAlignment="1">
      <alignment horizontal="distributed" vertical="center"/>
    </xf>
    <xf numFmtId="0" fontId="4" fillId="0" borderId="160" xfId="0" applyFont="1" applyBorder="1" applyAlignment="1">
      <alignment horizontal="distributed" vertical="center"/>
    </xf>
    <xf numFmtId="0" fontId="4" fillId="0" borderId="158" xfId="0" applyFont="1" applyBorder="1" applyAlignment="1">
      <alignment horizontal="distributed" vertical="center"/>
    </xf>
    <xf numFmtId="38" fontId="5" fillId="45" borderId="162" xfId="49" applyFont="1" applyFill="1" applyBorder="1" applyAlignment="1">
      <alignment horizontal="distributed" vertical="center"/>
    </xf>
    <xf numFmtId="38" fontId="5" fillId="45" borderId="14" xfId="49" applyFont="1" applyFill="1" applyBorder="1" applyAlignment="1">
      <alignment horizontal="distributed" vertical="center"/>
    </xf>
    <xf numFmtId="38" fontId="5" fillId="45" borderId="16" xfId="49" applyFont="1" applyFill="1" applyBorder="1" applyAlignment="1">
      <alignment horizontal="distributed" vertical="center"/>
    </xf>
    <xf numFmtId="38" fontId="5" fillId="50" borderId="221" xfId="49" applyFont="1" applyFill="1" applyBorder="1" applyAlignment="1">
      <alignment horizontal="center" vertical="center"/>
    </xf>
    <xf numFmtId="38" fontId="5" fillId="50" borderId="222" xfId="49" applyFont="1" applyFill="1" applyBorder="1" applyAlignment="1">
      <alignment horizontal="center" vertical="center"/>
    </xf>
    <xf numFmtId="38" fontId="5" fillId="50" borderId="223" xfId="49" applyFont="1" applyFill="1" applyBorder="1" applyAlignment="1">
      <alignment horizontal="center" vertical="center"/>
    </xf>
    <xf numFmtId="38" fontId="5" fillId="52" borderId="162" xfId="49" applyFont="1" applyFill="1" applyBorder="1" applyAlignment="1">
      <alignment horizontal="distributed" vertical="center" wrapText="1"/>
    </xf>
    <xf numFmtId="38" fontId="5" fillId="52" borderId="14" xfId="49" applyFont="1" applyFill="1" applyBorder="1" applyAlignment="1">
      <alignment horizontal="distributed" vertical="center"/>
    </xf>
    <xf numFmtId="38" fontId="5" fillId="52" borderId="16" xfId="49" applyFont="1" applyFill="1" applyBorder="1" applyAlignment="1">
      <alignment horizontal="distributed" vertical="center"/>
    </xf>
    <xf numFmtId="0" fontId="5" fillId="0" borderId="49" xfId="0" applyFont="1" applyBorder="1" applyAlignment="1">
      <alignment horizontal="center"/>
    </xf>
    <xf numFmtId="0" fontId="5" fillId="0" borderId="52" xfId="0" applyFont="1" applyBorder="1" applyAlignment="1">
      <alignment horizontal="center"/>
    </xf>
    <xf numFmtId="0" fontId="5" fillId="0" borderId="65" xfId="0" applyFont="1" applyBorder="1" applyAlignment="1">
      <alignment horizontal="center"/>
    </xf>
    <xf numFmtId="0" fontId="5" fillId="0" borderId="27" xfId="0" applyFont="1" applyBorder="1" applyAlignment="1">
      <alignment horizontal="center"/>
    </xf>
    <xf numFmtId="0" fontId="4" fillId="47" borderId="31" xfId="0" applyFont="1" applyFill="1" applyBorder="1" applyAlignment="1">
      <alignment horizontal="distributed" vertical="center"/>
    </xf>
    <xf numFmtId="0" fontId="4" fillId="47" borderId="29" xfId="0" applyFont="1" applyFill="1" applyBorder="1" applyAlignment="1">
      <alignment horizontal="distributed" vertical="center"/>
    </xf>
    <xf numFmtId="0" fontId="5" fillId="47" borderId="31" xfId="0" applyFont="1" applyFill="1" applyBorder="1" applyAlignment="1">
      <alignment horizontal="distributed" vertical="center"/>
    </xf>
    <xf numFmtId="0" fontId="5" fillId="47" borderId="29" xfId="0" applyFont="1" applyFill="1" applyBorder="1" applyAlignment="1">
      <alignment horizontal="distributed" vertical="center"/>
    </xf>
    <xf numFmtId="38" fontId="5" fillId="52" borderId="18" xfId="49" applyFont="1" applyFill="1" applyBorder="1" applyAlignment="1">
      <alignment horizontal="distributed" vertical="center" wrapText="1"/>
    </xf>
    <xf numFmtId="38" fontId="5" fillId="51" borderId="28" xfId="49" applyFont="1" applyFill="1" applyBorder="1" applyAlignment="1">
      <alignment horizontal="distributed" vertical="center" wrapText="1"/>
    </xf>
    <xf numFmtId="38" fontId="5" fillId="45" borderId="18" xfId="49" applyFont="1" applyFill="1" applyBorder="1" applyAlignment="1">
      <alignment horizontal="distributed" vertical="center"/>
    </xf>
    <xf numFmtId="38" fontId="5" fillId="50" borderId="28" xfId="49" applyFont="1" applyFill="1" applyBorder="1" applyAlignment="1">
      <alignment horizontal="center" vertical="center"/>
    </xf>
    <xf numFmtId="38" fontId="5" fillId="50" borderId="65" xfId="49" applyFont="1" applyFill="1" applyBorder="1" applyAlignment="1">
      <alignment horizontal="center" vertical="center"/>
    </xf>
    <xf numFmtId="38" fontId="5" fillId="50" borderId="27" xfId="49" applyFont="1" applyFill="1" applyBorder="1" applyAlignment="1">
      <alignment horizontal="center" vertical="center"/>
    </xf>
    <xf numFmtId="38" fontId="0" fillId="0" borderId="59" xfId="49" applyFont="1" applyBorder="1" applyAlignment="1">
      <alignment horizontal="distributed" vertical="center"/>
    </xf>
    <xf numFmtId="38" fontId="0" fillId="0" borderId="14" xfId="49" applyFont="1" applyBorder="1" applyAlignment="1">
      <alignment horizontal="distributed" vertical="center"/>
    </xf>
    <xf numFmtId="38" fontId="0" fillId="0" borderId="16" xfId="49" applyFont="1" applyBorder="1" applyAlignment="1">
      <alignment horizontal="distributed" vertical="center"/>
    </xf>
    <xf numFmtId="38" fontId="0" fillId="0" borderId="126" xfId="49" applyFont="1" applyBorder="1" applyAlignment="1">
      <alignment horizontal="center" vertical="center"/>
    </xf>
    <xf numFmtId="38" fontId="0" fillId="0" borderId="53" xfId="49" applyFont="1" applyBorder="1" applyAlignment="1">
      <alignment horizontal="center" vertical="center"/>
    </xf>
    <xf numFmtId="38" fontId="0" fillId="0" borderId="141" xfId="49" applyFont="1" applyBorder="1" applyAlignment="1">
      <alignment horizontal="center" vertical="center"/>
    </xf>
    <xf numFmtId="38" fontId="0" fillId="0" borderId="98" xfId="49" applyFont="1" applyBorder="1" applyAlignment="1">
      <alignment horizontal="distributed" vertical="center"/>
    </xf>
    <xf numFmtId="38" fontId="0" fillId="0" borderId="20" xfId="49" applyFont="1" applyBorder="1" applyAlignment="1">
      <alignment horizontal="distributed" vertical="center"/>
    </xf>
    <xf numFmtId="38" fontId="0" fillId="0" borderId="43" xfId="49" applyFont="1" applyBorder="1" applyAlignment="1">
      <alignment horizontal="distributed" vertical="center"/>
    </xf>
    <xf numFmtId="38" fontId="0" fillId="0" borderId="19" xfId="49" applyFont="1" applyBorder="1" applyAlignment="1">
      <alignment horizontal="distributed" vertical="center"/>
    </xf>
    <xf numFmtId="0" fontId="0" fillId="0" borderId="31" xfId="0" applyBorder="1" applyAlignment="1">
      <alignment horizontal="distributed" vertical="center"/>
    </xf>
    <xf numFmtId="0" fontId="0" fillId="0" borderId="29" xfId="0" applyBorder="1" applyAlignment="1">
      <alignment horizontal="distributed" vertical="center"/>
    </xf>
    <xf numFmtId="0" fontId="0" fillId="0" borderId="42" xfId="0" applyBorder="1" applyAlignment="1">
      <alignment horizontal="distributed" vertical="center" wrapText="1"/>
    </xf>
    <xf numFmtId="0" fontId="0" fillId="0" borderId="36" xfId="0" applyBorder="1" applyAlignment="1">
      <alignment horizontal="distributed" vertical="center" wrapText="1"/>
    </xf>
    <xf numFmtId="38" fontId="21" fillId="0" borderId="14" xfId="49" applyFont="1" applyBorder="1" applyAlignment="1">
      <alignment horizontal="distributed" vertical="center" wrapText="1"/>
    </xf>
    <xf numFmtId="38" fontId="21" fillId="0" borderId="16" xfId="49" applyFont="1" applyBorder="1" applyAlignment="1">
      <alignment horizontal="distributed" vertical="center"/>
    </xf>
    <xf numFmtId="0" fontId="0" fillId="0" borderId="216" xfId="0" applyBorder="1" applyAlignment="1">
      <alignment horizontal="distributed" vertical="center"/>
    </xf>
    <xf numFmtId="0" fontId="0" fillId="0" borderId="65" xfId="0" applyBorder="1" applyAlignment="1">
      <alignment horizontal="distributed" vertical="center"/>
    </xf>
    <xf numFmtId="0" fontId="0" fillId="0" borderId="27" xfId="0" applyBorder="1" applyAlignment="1">
      <alignment horizontal="distributed" vertical="center"/>
    </xf>
    <xf numFmtId="0" fontId="0" fillId="0" borderId="19" xfId="0" applyBorder="1" applyAlignment="1">
      <alignment horizontal="distributed" vertical="center"/>
    </xf>
    <xf numFmtId="0" fontId="0" fillId="0" borderId="19" xfId="0" applyBorder="1" applyAlignment="1">
      <alignment horizontal="distributed" vertical="center"/>
    </xf>
    <xf numFmtId="0" fontId="0" fillId="0" borderId="54" xfId="0" applyBorder="1" applyAlignment="1">
      <alignment horizontal="distributed" vertical="center"/>
    </xf>
    <xf numFmtId="0" fontId="0" fillId="0" borderId="124" xfId="0" applyBorder="1" applyAlignment="1">
      <alignment horizontal="distributed" vertical="center"/>
    </xf>
    <xf numFmtId="0" fontId="21" fillId="0" borderId="128" xfId="0" applyFont="1" applyBorder="1" applyAlignment="1">
      <alignment horizontal="distributed" vertical="center"/>
    </xf>
    <xf numFmtId="0" fontId="21" fillId="0" borderId="90" xfId="0" applyFont="1" applyBorder="1" applyAlignment="1">
      <alignment horizontal="distributed" vertical="center"/>
    </xf>
    <xf numFmtId="0" fontId="5" fillId="42" borderId="28" xfId="0" applyFont="1" applyFill="1" applyBorder="1" applyAlignment="1">
      <alignment horizontal="center" vertical="center"/>
    </xf>
    <xf numFmtId="0" fontId="5" fillId="42" borderId="65" xfId="0" applyFont="1" applyFill="1" applyBorder="1" applyAlignment="1">
      <alignment horizontal="center" vertical="center"/>
    </xf>
    <xf numFmtId="0" fontId="5" fillId="45" borderId="28" xfId="0" applyFont="1" applyFill="1" applyBorder="1" applyAlignment="1">
      <alignment horizontal="center" vertical="center"/>
    </xf>
    <xf numFmtId="0" fontId="5" fillId="45" borderId="65" xfId="0" applyFont="1" applyFill="1" applyBorder="1" applyAlignment="1">
      <alignment horizontal="center" vertical="center"/>
    </xf>
    <xf numFmtId="0" fontId="5" fillId="45" borderId="27" xfId="0" applyFont="1" applyFill="1" applyBorder="1" applyAlignment="1">
      <alignment horizontal="center" vertical="center"/>
    </xf>
    <xf numFmtId="0" fontId="5" fillId="45" borderId="0" xfId="0" applyFont="1" applyFill="1" applyBorder="1" applyAlignment="1">
      <alignment horizontal="center" vertical="center" wrapText="1"/>
    </xf>
    <xf numFmtId="0" fontId="5" fillId="45" borderId="48" xfId="0" applyFont="1" applyFill="1" applyBorder="1" applyAlignment="1">
      <alignment horizontal="center" vertical="center" wrapText="1"/>
    </xf>
    <xf numFmtId="0" fontId="5" fillId="45" borderId="65" xfId="0" applyFont="1" applyFill="1" applyBorder="1" applyAlignment="1">
      <alignment horizontal="center" vertical="center" wrapText="1"/>
    </xf>
    <xf numFmtId="0" fontId="5" fillId="45" borderId="27" xfId="0" applyFont="1" applyFill="1" applyBorder="1" applyAlignment="1">
      <alignment horizontal="center" vertical="center" wrapText="1"/>
    </xf>
    <xf numFmtId="0" fontId="5" fillId="0" borderId="55" xfId="0" applyFont="1" applyBorder="1" applyAlignment="1">
      <alignment horizontal="distributed" vertical="center"/>
    </xf>
    <xf numFmtId="0" fontId="5" fillId="0" borderId="124" xfId="0" applyFont="1" applyBorder="1" applyAlignment="1">
      <alignment horizontal="distributed" vertical="center"/>
    </xf>
    <xf numFmtId="0" fontId="5" fillId="0" borderId="65" xfId="0" applyFont="1" applyBorder="1" applyAlignment="1">
      <alignment horizontal="distributed" vertical="center"/>
    </xf>
    <xf numFmtId="0" fontId="5" fillId="0" borderId="27" xfId="0" applyFont="1" applyBorder="1" applyAlignment="1">
      <alignment horizontal="distributed" vertical="center"/>
    </xf>
    <xf numFmtId="0" fontId="21" fillId="45" borderId="42" xfId="0" applyFont="1" applyFill="1" applyBorder="1" applyAlignment="1">
      <alignment horizontal="center" vertical="center"/>
    </xf>
    <xf numFmtId="0" fontId="21" fillId="45" borderId="142" xfId="0" applyFont="1" applyFill="1" applyBorder="1" applyAlignment="1">
      <alignment horizontal="center" vertical="center"/>
    </xf>
    <xf numFmtId="0" fontId="21" fillId="45" borderId="18" xfId="0" applyFont="1" applyFill="1" applyBorder="1" applyAlignment="1">
      <alignment horizontal="center" vertical="center"/>
    </xf>
    <xf numFmtId="0" fontId="21" fillId="45" borderId="28" xfId="0" applyFont="1" applyFill="1" applyBorder="1" applyAlignment="1">
      <alignment horizontal="center"/>
    </xf>
    <xf numFmtId="0" fontId="21" fillId="45" borderId="65" xfId="0" applyFont="1" applyFill="1" applyBorder="1" applyAlignment="1">
      <alignment horizontal="center"/>
    </xf>
    <xf numFmtId="0" fontId="21" fillId="45" borderId="27" xfId="0" applyFont="1" applyFill="1" applyBorder="1" applyAlignment="1">
      <alignment horizontal="center"/>
    </xf>
    <xf numFmtId="0" fontId="10" fillId="45" borderId="42" xfId="0" applyFont="1" applyFill="1" applyBorder="1" applyAlignment="1">
      <alignment horizontal="center" vertical="center" wrapText="1"/>
    </xf>
    <xf numFmtId="0" fontId="10" fillId="45" borderId="142" xfId="0" applyFont="1" applyFill="1" applyBorder="1" applyAlignment="1">
      <alignment horizontal="center" vertical="center"/>
    </xf>
    <xf numFmtId="0" fontId="10" fillId="45" borderId="18" xfId="0" applyFont="1" applyFill="1" applyBorder="1" applyAlignment="1">
      <alignment horizontal="center" vertical="center"/>
    </xf>
    <xf numFmtId="0" fontId="21" fillId="45" borderId="42" xfId="0" applyFont="1" applyFill="1" applyBorder="1" applyAlignment="1">
      <alignment horizontal="center" vertical="center" wrapText="1"/>
    </xf>
    <xf numFmtId="0" fontId="21" fillId="45" borderId="142" xfId="0" applyFont="1" applyFill="1" applyBorder="1" applyAlignment="1">
      <alignment horizontal="center" vertical="center" wrapText="1"/>
    </xf>
    <xf numFmtId="0" fontId="21" fillId="45" borderId="18" xfId="0" applyFont="1" applyFill="1" applyBorder="1" applyAlignment="1">
      <alignment horizontal="center" vertical="center" wrapText="1"/>
    </xf>
    <xf numFmtId="0" fontId="10" fillId="45" borderId="54" xfId="0" applyFont="1" applyFill="1" applyBorder="1" applyAlignment="1">
      <alignment horizontal="center" vertical="center" wrapText="1"/>
    </xf>
    <xf numFmtId="0" fontId="10" fillId="45" borderId="136" xfId="0" applyFont="1" applyFill="1" applyBorder="1" applyAlignment="1">
      <alignment horizontal="center" vertical="center"/>
    </xf>
    <xf numFmtId="0" fontId="10" fillId="45" borderId="28" xfId="0" applyFont="1" applyFill="1" applyBorder="1" applyAlignment="1">
      <alignment horizontal="center" vertical="center"/>
    </xf>
    <xf numFmtId="0" fontId="10" fillId="45" borderId="42" xfId="0" applyFont="1" applyFill="1" applyBorder="1" applyAlignment="1">
      <alignment horizontal="center" vertical="center"/>
    </xf>
    <xf numFmtId="0" fontId="23" fillId="45" borderId="42" xfId="0" applyFont="1" applyFill="1" applyBorder="1" applyAlignment="1">
      <alignment horizontal="center" vertical="center" wrapText="1"/>
    </xf>
    <xf numFmtId="0" fontId="23" fillId="45" borderId="142" xfId="0" applyFont="1" applyFill="1" applyBorder="1" applyAlignment="1">
      <alignment horizontal="center" vertical="center"/>
    </xf>
    <xf numFmtId="0" fontId="23" fillId="45" borderId="18" xfId="0" applyFont="1" applyFill="1" applyBorder="1" applyAlignment="1">
      <alignment horizontal="center" vertical="center"/>
    </xf>
    <xf numFmtId="0" fontId="10" fillId="45" borderId="224" xfId="0" applyFont="1" applyFill="1" applyBorder="1" applyAlignment="1">
      <alignment horizontal="left" vertical="center" wrapText="1"/>
    </xf>
    <xf numFmtId="0" fontId="10" fillId="45" borderId="224" xfId="0" applyFont="1" applyFill="1" applyBorder="1" applyAlignment="1">
      <alignment horizontal="left" vertical="center"/>
    </xf>
    <xf numFmtId="0" fontId="10" fillId="45" borderId="225" xfId="0" applyFont="1" applyFill="1" applyBorder="1" applyAlignment="1">
      <alignment horizontal="left" vertical="center"/>
    </xf>
    <xf numFmtId="0" fontId="10" fillId="45" borderId="201" xfId="0" applyFont="1" applyFill="1" applyBorder="1" applyAlignment="1">
      <alignment horizontal="left" vertical="center"/>
    </xf>
    <xf numFmtId="0" fontId="10" fillId="45" borderId="202" xfId="0" applyFont="1" applyFill="1" applyBorder="1" applyAlignment="1">
      <alignment horizontal="left" vertical="center"/>
    </xf>
    <xf numFmtId="0" fontId="10" fillId="45" borderId="204" xfId="0" applyFont="1" applyFill="1" applyBorder="1" applyAlignment="1">
      <alignment horizontal="left" vertical="center"/>
    </xf>
    <xf numFmtId="0" fontId="10" fillId="45" borderId="205" xfId="0" applyFont="1" applyFill="1" applyBorder="1" applyAlignment="1">
      <alignment horizontal="left" vertical="center"/>
    </xf>
    <xf numFmtId="0" fontId="21" fillId="45" borderId="54" xfId="0" applyFont="1" applyFill="1" applyBorder="1" applyAlignment="1">
      <alignment horizontal="center" vertical="center" wrapText="1"/>
    </xf>
    <xf numFmtId="0" fontId="21" fillId="45" borderId="55" xfId="0" applyFont="1" applyFill="1" applyBorder="1" applyAlignment="1">
      <alignment horizontal="center" vertical="center" wrapText="1"/>
    </xf>
    <xf numFmtId="0" fontId="21" fillId="45" borderId="124" xfId="0" applyFont="1" applyFill="1" applyBorder="1" applyAlignment="1">
      <alignment horizontal="center" vertical="center" wrapText="1"/>
    </xf>
    <xf numFmtId="0" fontId="21" fillId="45" borderId="28" xfId="0" applyFont="1" applyFill="1" applyBorder="1" applyAlignment="1">
      <alignment horizontal="center" vertical="center" wrapText="1"/>
    </xf>
    <xf numFmtId="0" fontId="21" fillId="45" borderId="65" xfId="0" applyFont="1" applyFill="1" applyBorder="1" applyAlignment="1">
      <alignment horizontal="center" vertical="center" wrapText="1"/>
    </xf>
    <xf numFmtId="0" fontId="21" fillId="45" borderId="27" xfId="0" applyFont="1" applyFill="1" applyBorder="1" applyAlignment="1">
      <alignment horizontal="center" vertical="center" wrapText="1"/>
    </xf>
    <xf numFmtId="0" fontId="21" fillId="45" borderId="226" xfId="0" applyFont="1" applyFill="1" applyBorder="1" applyAlignment="1">
      <alignment horizontal="left" vertical="center" wrapText="1"/>
    </xf>
    <xf numFmtId="0" fontId="21" fillId="45" borderId="226" xfId="0" applyFont="1" applyFill="1" applyBorder="1" applyAlignment="1">
      <alignment horizontal="left" vertical="center"/>
    </xf>
    <xf numFmtId="0" fontId="21" fillId="45" borderId="227" xfId="0" applyFont="1" applyFill="1" applyBorder="1" applyAlignment="1">
      <alignment horizontal="left" vertical="center"/>
    </xf>
    <xf numFmtId="0" fontId="21" fillId="45" borderId="201" xfId="0" applyFont="1" applyFill="1" applyBorder="1" applyAlignment="1">
      <alignment horizontal="left" vertical="center"/>
    </xf>
    <xf numFmtId="0" fontId="21" fillId="45" borderId="202" xfId="0" applyFont="1" applyFill="1" applyBorder="1" applyAlignment="1">
      <alignment horizontal="left" vertical="center"/>
    </xf>
    <xf numFmtId="0" fontId="21" fillId="45" borderId="204" xfId="0" applyFont="1" applyFill="1" applyBorder="1" applyAlignment="1">
      <alignment horizontal="left" vertical="center"/>
    </xf>
    <xf numFmtId="0" fontId="21" fillId="45" borderId="205" xfId="0" applyFont="1" applyFill="1" applyBorder="1" applyAlignment="1">
      <alignment horizontal="left" vertical="center"/>
    </xf>
    <xf numFmtId="0" fontId="10" fillId="45" borderId="19" xfId="0" applyFont="1" applyFill="1" applyBorder="1" applyAlignment="1">
      <alignment horizontal="center"/>
    </xf>
    <xf numFmtId="0" fontId="10" fillId="45" borderId="31" xfId="0" applyFont="1" applyFill="1" applyBorder="1" applyAlignment="1">
      <alignment horizontal="center"/>
    </xf>
    <xf numFmtId="0" fontId="10" fillId="45" borderId="29" xfId="0" applyFont="1" applyFill="1" applyBorder="1" applyAlignment="1">
      <alignment horizontal="center"/>
    </xf>
    <xf numFmtId="0" fontId="21" fillId="0" borderId="55" xfId="0" applyFont="1" applyBorder="1" applyAlignment="1">
      <alignment horizontal="distributed" vertical="distributed"/>
    </xf>
    <xf numFmtId="0" fontId="21" fillId="0" borderId="124" xfId="0" applyFont="1" applyBorder="1" applyAlignment="1">
      <alignment horizontal="distributed" vertical="distributed"/>
    </xf>
    <xf numFmtId="0" fontId="21" fillId="0" borderId="65" xfId="0" applyFont="1" applyBorder="1" applyAlignment="1">
      <alignment horizontal="distributed" vertical="distributed"/>
    </xf>
    <xf numFmtId="0" fontId="21" fillId="0" borderId="27" xfId="0" applyFont="1" applyBorder="1" applyAlignment="1">
      <alignment horizontal="distributed" vertical="distributed"/>
    </xf>
    <xf numFmtId="0" fontId="21" fillId="53" borderId="136" xfId="0" applyFont="1" applyFill="1" applyBorder="1" applyAlignment="1">
      <alignment horizontal="center" vertical="center" wrapText="1"/>
    </xf>
    <xf numFmtId="0" fontId="21" fillId="53" borderId="136" xfId="0" applyFont="1" applyFill="1" applyBorder="1" applyAlignment="1">
      <alignment horizontal="center" vertical="center"/>
    </xf>
    <xf numFmtId="0" fontId="21" fillId="53" borderId="28" xfId="0" applyFont="1" applyFill="1" applyBorder="1" applyAlignment="1">
      <alignment horizontal="center" vertical="center"/>
    </xf>
    <xf numFmtId="0" fontId="21" fillId="42" borderId="142" xfId="0" applyFont="1" applyFill="1" applyBorder="1" applyAlignment="1">
      <alignment horizontal="center" vertical="center" wrapText="1"/>
    </xf>
    <xf numFmtId="0" fontId="21" fillId="42" borderId="142" xfId="0" applyFont="1" applyFill="1" applyBorder="1" applyAlignment="1">
      <alignment horizontal="center" vertical="center"/>
    </xf>
    <xf numFmtId="0" fontId="21" fillId="42" borderId="18" xfId="0" applyFont="1" applyFill="1" applyBorder="1" applyAlignment="1">
      <alignment horizontal="center" vertical="center"/>
    </xf>
    <xf numFmtId="0" fontId="22" fillId="0" borderId="14" xfId="0" applyFont="1" applyBorder="1" applyAlignment="1">
      <alignment horizontal="distributed" vertical="center" shrinkToFit="1"/>
    </xf>
    <xf numFmtId="0" fontId="22" fillId="48" borderId="31" xfId="0" applyFont="1" applyFill="1" applyBorder="1" applyAlignment="1">
      <alignment horizontal="distributed" vertical="center"/>
    </xf>
    <xf numFmtId="0" fontId="22" fillId="48" borderId="29" xfId="0" applyFont="1" applyFill="1" applyBorder="1" applyAlignment="1">
      <alignment horizontal="distributed" vertical="center"/>
    </xf>
    <xf numFmtId="0" fontId="22" fillId="48" borderId="160" xfId="0" applyFont="1" applyFill="1" applyBorder="1" applyAlignment="1">
      <alignment horizontal="distributed" vertical="center"/>
    </xf>
    <xf numFmtId="0" fontId="22" fillId="48" borderId="158" xfId="0" applyFont="1" applyFill="1" applyBorder="1" applyAlignment="1">
      <alignment horizontal="distributed" vertical="center"/>
    </xf>
    <xf numFmtId="0" fontId="21" fillId="45" borderId="222" xfId="0" applyFont="1" applyFill="1" applyBorder="1" applyAlignment="1">
      <alignment horizontal="center" vertical="center"/>
    </xf>
    <xf numFmtId="0" fontId="21" fillId="45" borderId="223" xfId="0" applyFont="1" applyFill="1" applyBorder="1" applyAlignment="1">
      <alignment horizontal="center" vertical="center"/>
    </xf>
    <xf numFmtId="0" fontId="22" fillId="48" borderId="55" xfId="0" applyFont="1" applyFill="1" applyBorder="1" applyAlignment="1">
      <alignment horizontal="distributed" vertical="center"/>
    </xf>
    <xf numFmtId="0" fontId="22" fillId="48" borderId="124" xfId="0" applyFont="1" applyFill="1" applyBorder="1" applyAlignment="1">
      <alignment horizontal="distributed" vertical="center"/>
    </xf>
    <xf numFmtId="0" fontId="22" fillId="48" borderId="65" xfId="0" applyFont="1" applyFill="1" applyBorder="1" applyAlignment="1">
      <alignment horizontal="distributed" vertical="center"/>
    </xf>
    <xf numFmtId="0" fontId="22" fillId="48" borderId="27" xfId="0" applyFont="1" applyFill="1" applyBorder="1" applyAlignment="1">
      <alignment horizontal="distributed" vertical="center"/>
    </xf>
    <xf numFmtId="0" fontId="23" fillId="44" borderId="151" xfId="0" applyFont="1" applyFill="1" applyBorder="1" applyAlignment="1">
      <alignment horizontal="center" shrinkToFit="1"/>
    </xf>
    <xf numFmtId="0" fontId="23" fillId="44" borderId="160" xfId="0" applyFont="1" applyFill="1" applyBorder="1" applyAlignment="1">
      <alignment horizontal="center" shrinkToFit="1"/>
    </xf>
    <xf numFmtId="0" fontId="23" fillId="44" borderId="158" xfId="0" applyFont="1" applyFill="1" applyBorder="1" applyAlignment="1">
      <alignment horizontal="center" shrinkToFit="1"/>
    </xf>
    <xf numFmtId="0" fontId="23" fillId="0" borderId="19" xfId="0" applyFont="1" applyBorder="1" applyAlignment="1">
      <alignment horizontal="center" shrinkToFit="1"/>
    </xf>
    <xf numFmtId="0" fontId="23" fillId="0" borderId="29" xfId="0" applyFont="1" applyBorder="1" applyAlignment="1">
      <alignment horizontal="center" shrinkToFit="1"/>
    </xf>
    <xf numFmtId="0" fontId="23" fillId="44" borderId="19" xfId="0" applyFont="1" applyFill="1" applyBorder="1" applyAlignment="1">
      <alignment horizontal="center" shrinkToFit="1"/>
    </xf>
    <xf numFmtId="0" fontId="23" fillId="44" borderId="31" xfId="0" applyFont="1" applyFill="1" applyBorder="1" applyAlignment="1">
      <alignment horizontal="center" shrinkToFit="1"/>
    </xf>
    <xf numFmtId="0" fontId="23" fillId="44" borderId="29" xfId="0" applyFont="1" applyFill="1" applyBorder="1" applyAlignment="1">
      <alignment horizontal="center" shrinkToFit="1"/>
    </xf>
    <xf numFmtId="0" fontId="23" fillId="45" borderId="205" xfId="0" applyFont="1" applyFill="1" applyBorder="1" applyAlignment="1">
      <alignment horizontal="left" vertical="center" wrapText="1"/>
    </xf>
    <xf numFmtId="0" fontId="21" fillId="45" borderId="228" xfId="0" applyFont="1" applyFill="1" applyBorder="1" applyAlignment="1">
      <alignment horizontal="left" vertical="center"/>
    </xf>
    <xf numFmtId="0" fontId="21" fillId="45" borderId="229" xfId="0" applyFont="1" applyFill="1" applyBorder="1" applyAlignment="1">
      <alignment horizontal="left" vertical="center"/>
    </xf>
    <xf numFmtId="0" fontId="21" fillId="45" borderId="230" xfId="0" applyFont="1" applyFill="1" applyBorder="1" applyAlignment="1">
      <alignment horizontal="left" vertical="center"/>
    </xf>
    <xf numFmtId="0" fontId="23" fillId="45" borderId="18" xfId="0" applyFont="1" applyFill="1" applyBorder="1" applyAlignment="1">
      <alignment horizontal="center" vertical="center" wrapText="1"/>
    </xf>
    <xf numFmtId="0" fontId="23" fillId="45" borderId="14" xfId="0" applyFont="1" applyFill="1" applyBorder="1" applyAlignment="1">
      <alignment horizontal="center" vertical="center"/>
    </xf>
    <xf numFmtId="0" fontId="23" fillId="45" borderId="14" xfId="0" applyFont="1" applyFill="1" applyBorder="1" applyAlignment="1">
      <alignment horizontal="center" vertical="center" wrapText="1"/>
    </xf>
    <xf numFmtId="0" fontId="23" fillId="45" borderId="28" xfId="0" applyFont="1" applyFill="1" applyBorder="1" applyAlignment="1">
      <alignment horizontal="center" vertical="center" wrapText="1"/>
    </xf>
    <xf numFmtId="0" fontId="23" fillId="45" borderId="19" xfId="0" applyFont="1" applyFill="1" applyBorder="1" applyAlignment="1">
      <alignment horizontal="center" vertical="center" wrapText="1"/>
    </xf>
    <xf numFmtId="0" fontId="23" fillId="0" borderId="42" xfId="0" applyFont="1" applyBorder="1" applyAlignment="1">
      <alignment horizontal="center" vertical="center" textRotation="255" shrinkToFit="1"/>
    </xf>
    <xf numFmtId="0" fontId="23" fillId="0" borderId="142" xfId="0" applyFont="1" applyBorder="1" applyAlignment="1">
      <alignment horizontal="center" vertical="center" textRotation="255" shrinkToFit="1"/>
    </xf>
    <xf numFmtId="0" fontId="23" fillId="0" borderId="18" xfId="0" applyFont="1" applyBorder="1" applyAlignment="1">
      <alignment horizontal="center" vertical="center" textRotation="255" shrinkToFit="1"/>
    </xf>
    <xf numFmtId="0" fontId="23" fillId="0" borderId="55" xfId="0" applyFont="1" applyBorder="1" applyAlignment="1">
      <alignment horizontal="center" vertical="center" shrinkToFit="1"/>
    </xf>
    <xf numFmtId="0" fontId="23" fillId="0" borderId="124" xfId="0" applyFont="1" applyBorder="1" applyAlignment="1">
      <alignment horizontal="center" vertical="center" shrinkToFit="1"/>
    </xf>
    <xf numFmtId="0" fontId="23" fillId="0" borderId="65" xfId="0" applyFont="1" applyBorder="1" applyAlignment="1">
      <alignment horizontal="center" vertical="center" shrinkToFit="1"/>
    </xf>
    <xf numFmtId="0" fontId="23" fillId="0" borderId="27" xfId="0" applyFont="1" applyBorder="1" applyAlignment="1">
      <alignment horizontal="center" vertical="center" shrinkToFit="1"/>
    </xf>
    <xf numFmtId="0" fontId="21" fillId="44" borderId="19" xfId="0" applyFont="1" applyFill="1" applyBorder="1" applyAlignment="1">
      <alignment horizontal="distributed" vertical="center"/>
    </xf>
    <xf numFmtId="0" fontId="21" fillId="44" borderId="29" xfId="0" applyFont="1" applyFill="1" applyBorder="1" applyAlignment="1">
      <alignment horizontal="distributed" vertical="center"/>
    </xf>
    <xf numFmtId="0" fontId="21" fillId="44" borderId="151" xfId="0" applyFont="1" applyFill="1" applyBorder="1" applyAlignment="1">
      <alignment horizontal="distributed" vertical="center"/>
    </xf>
    <xf numFmtId="0" fontId="21" fillId="44" borderId="158" xfId="0" applyFont="1" applyFill="1" applyBorder="1" applyAlignment="1">
      <alignment horizontal="distributed" vertical="center"/>
    </xf>
    <xf numFmtId="0" fontId="0" fillId="0" borderId="214" xfId="0" applyBorder="1" applyAlignment="1">
      <alignment horizontal="distributed" vertical="center"/>
    </xf>
    <xf numFmtId="0" fontId="0" fillId="0" borderId="59" xfId="0" applyBorder="1" applyAlignment="1">
      <alignment horizontal="distributed" vertical="center"/>
    </xf>
    <xf numFmtId="0" fontId="0" fillId="0" borderId="100" xfId="0" applyBorder="1" applyAlignment="1">
      <alignment horizontal="distributed" vertical="center"/>
    </xf>
    <xf numFmtId="0" fontId="0" fillId="0" borderId="14" xfId="0" applyBorder="1" applyAlignment="1">
      <alignment horizontal="distributed" vertical="center"/>
    </xf>
    <xf numFmtId="0" fontId="0" fillId="0" borderId="44" xfId="0" applyBorder="1" applyAlignment="1">
      <alignment horizontal="center" vertical="center"/>
    </xf>
    <xf numFmtId="0" fontId="0" fillId="0" borderId="49" xfId="0" applyBorder="1" applyAlignment="1">
      <alignment horizontal="center" vertical="center"/>
    </xf>
    <xf numFmtId="0" fontId="0" fillId="0" borderId="136"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136" xfId="0" applyBorder="1" applyAlignment="1">
      <alignment horizontal="center"/>
    </xf>
    <xf numFmtId="0" fontId="0" fillId="0" borderId="105" xfId="0" applyBorder="1" applyAlignment="1">
      <alignment horizontal="center"/>
    </xf>
    <xf numFmtId="0" fontId="21" fillId="45" borderId="27" xfId="0" applyFont="1" applyFill="1" applyBorder="1" applyAlignment="1">
      <alignment horizontal="distributed" vertical="center"/>
    </xf>
    <xf numFmtId="0" fontId="21" fillId="45" borderId="18" xfId="0" applyFont="1" applyFill="1" applyBorder="1" applyAlignment="1">
      <alignment horizontal="distributed" vertical="center"/>
    </xf>
    <xf numFmtId="0" fontId="21" fillId="45" borderId="29" xfId="0" applyFont="1" applyFill="1" applyBorder="1" applyAlignment="1">
      <alignment horizontal="distributed" vertical="center"/>
    </xf>
    <xf numFmtId="0" fontId="21" fillId="45" borderId="14" xfId="0" applyFont="1" applyFill="1" applyBorder="1" applyAlignment="1">
      <alignment horizontal="distributed" vertical="center"/>
    </xf>
    <xf numFmtId="0" fontId="21" fillId="45" borderId="161" xfId="0" applyFont="1" applyFill="1" applyBorder="1" applyAlignment="1">
      <alignment horizontal="center" vertical="center"/>
    </xf>
    <xf numFmtId="0" fontId="21" fillId="45" borderId="170" xfId="0" applyFont="1" applyFill="1" applyBorder="1" applyAlignment="1">
      <alignment horizontal="center" vertical="center"/>
    </xf>
    <xf numFmtId="0" fontId="21" fillId="45" borderId="136" xfId="0" applyFont="1" applyFill="1" applyBorder="1" applyAlignment="1">
      <alignment horizontal="center" vertical="center"/>
    </xf>
    <xf numFmtId="0" fontId="21" fillId="45" borderId="0" xfId="0" applyFont="1" applyFill="1" applyBorder="1" applyAlignment="1">
      <alignment horizontal="center" vertical="center"/>
    </xf>
    <xf numFmtId="0" fontId="21" fillId="0" borderId="55" xfId="0" applyFont="1" applyBorder="1" applyAlignment="1">
      <alignment horizontal="distributed" vertical="center"/>
    </xf>
    <xf numFmtId="0" fontId="21" fillId="0" borderId="124" xfId="0" applyFont="1" applyBorder="1" applyAlignment="1">
      <alignment horizontal="distributed" vertical="center"/>
    </xf>
    <xf numFmtId="0" fontId="21" fillId="0" borderId="65" xfId="0" applyFont="1" applyBorder="1" applyAlignment="1">
      <alignment horizontal="distributed" vertical="center"/>
    </xf>
    <xf numFmtId="0" fontId="21" fillId="0" borderId="27" xfId="0" applyFont="1" applyBorder="1" applyAlignment="1">
      <alignment horizontal="distributed" vertical="center"/>
    </xf>
    <xf numFmtId="0" fontId="22" fillId="44" borderId="19" xfId="0" applyFont="1" applyFill="1" applyBorder="1" applyAlignment="1">
      <alignment horizontal="distributed"/>
    </xf>
    <xf numFmtId="0" fontId="0" fillId="0" borderId="31" xfId="0" applyBorder="1" applyAlignment="1">
      <alignment horizontal="distributed"/>
    </xf>
    <xf numFmtId="0" fontId="0" fillId="0" borderId="29" xfId="0" applyBorder="1" applyAlignment="1">
      <alignment horizontal="distributed"/>
    </xf>
    <xf numFmtId="0" fontId="22" fillId="44" borderId="151" xfId="0" applyFont="1" applyFill="1" applyBorder="1" applyAlignment="1">
      <alignment horizontal="distributed"/>
    </xf>
    <xf numFmtId="0" fontId="0" fillId="0" borderId="160" xfId="0" applyBorder="1" applyAlignment="1">
      <alignment horizontal="distributed"/>
    </xf>
    <xf numFmtId="0" fontId="0" fillId="0" borderId="158" xfId="0" applyBorder="1" applyAlignment="1">
      <alignment horizontal="distributed"/>
    </xf>
    <xf numFmtId="0" fontId="22" fillId="0" borderId="19" xfId="0" applyFont="1" applyBorder="1" applyAlignment="1">
      <alignment horizontal="distributed"/>
    </xf>
    <xf numFmtId="0" fontId="23" fillId="46" borderId="0" xfId="0" applyFont="1" applyFill="1" applyAlignment="1">
      <alignment horizontal="right" vertical="center"/>
    </xf>
    <xf numFmtId="0" fontId="22" fillId="0" borderId="124" xfId="0" applyFont="1" applyBorder="1" applyAlignment="1">
      <alignment vertical="center" textRotation="255" shrinkToFit="1"/>
    </xf>
    <xf numFmtId="0" fontId="22" fillId="0" borderId="48" xfId="0" applyFont="1" applyBorder="1" applyAlignment="1">
      <alignment vertical="center" textRotation="255" shrinkToFit="1"/>
    </xf>
    <xf numFmtId="0" fontId="22" fillId="0" borderId="27" xfId="0" applyFont="1" applyBorder="1" applyAlignment="1">
      <alignment vertical="center" textRotation="255" shrinkToFit="1"/>
    </xf>
    <xf numFmtId="0" fontId="22" fillId="45" borderId="28" xfId="0" applyFont="1" applyFill="1" applyBorder="1" applyAlignment="1">
      <alignment horizontal="center" vertical="center"/>
    </xf>
    <xf numFmtId="0" fontId="22" fillId="45" borderId="27" xfId="0" applyFont="1" applyFill="1" applyBorder="1" applyAlignment="1">
      <alignment horizontal="center" vertical="center"/>
    </xf>
    <xf numFmtId="0" fontId="22" fillId="45" borderId="0" xfId="0" applyFont="1" applyFill="1" applyBorder="1" applyAlignment="1">
      <alignment horizontal="center" vertical="center"/>
    </xf>
    <xf numFmtId="0" fontId="22" fillId="45" borderId="48" xfId="0" applyFont="1" applyFill="1" applyBorder="1" applyAlignment="1">
      <alignment horizontal="center" vertical="center"/>
    </xf>
    <xf numFmtId="0" fontId="22" fillId="45" borderId="65" xfId="0" applyFont="1" applyFill="1" applyBorder="1" applyAlignment="1">
      <alignment horizontal="center" vertical="center"/>
    </xf>
    <xf numFmtId="0" fontId="22" fillId="45" borderId="142" xfId="0" applyFont="1" applyFill="1" applyBorder="1" applyAlignment="1">
      <alignment horizontal="center" vertical="center" wrapText="1"/>
    </xf>
    <xf numFmtId="0" fontId="22" fillId="45" borderId="18" xfId="0" applyFont="1" applyFill="1" applyBorder="1" applyAlignment="1">
      <alignment horizontal="center" vertical="center" wrapText="1"/>
    </xf>
    <xf numFmtId="0" fontId="22" fillId="0" borderId="55" xfId="0" applyFont="1" applyBorder="1" applyAlignment="1">
      <alignment horizontal="distributed" vertical="center"/>
    </xf>
    <xf numFmtId="0" fontId="22" fillId="0" borderId="124" xfId="0" applyFont="1" applyBorder="1" applyAlignment="1">
      <alignment horizontal="distributed" vertical="center"/>
    </xf>
    <xf numFmtId="0" fontId="22" fillId="0" borderId="0" xfId="0" applyFont="1" applyBorder="1" applyAlignment="1">
      <alignment horizontal="distributed" vertical="center"/>
    </xf>
    <xf numFmtId="0" fontId="22" fillId="0" borderId="65" xfId="0" applyFont="1" applyBorder="1" applyAlignment="1">
      <alignment horizontal="distributed" vertical="center"/>
    </xf>
    <xf numFmtId="0" fontId="22" fillId="0" borderId="27" xfId="0" applyFont="1" applyBorder="1" applyAlignment="1">
      <alignment horizontal="distributed" vertical="center"/>
    </xf>
    <xf numFmtId="0" fontId="23" fillId="46" borderId="0" xfId="0" applyFont="1" applyFill="1" applyAlignment="1">
      <alignment horizontal="left" vertical="center" wrapText="1"/>
    </xf>
    <xf numFmtId="0" fontId="23" fillId="46" borderId="170" xfId="0" applyFont="1" applyFill="1" applyBorder="1" applyAlignment="1">
      <alignment horizontal="right" vertical="center"/>
    </xf>
    <xf numFmtId="0" fontId="22" fillId="44" borderId="31" xfId="0" applyFont="1" applyFill="1" applyBorder="1" applyAlignment="1">
      <alignment horizontal="distributed"/>
    </xf>
    <xf numFmtId="0" fontId="22" fillId="44" borderId="29" xfId="0" applyFont="1" applyFill="1" applyBorder="1" applyAlignment="1">
      <alignment horizontal="distributed"/>
    </xf>
    <xf numFmtId="0" fontId="21" fillId="45" borderId="27" xfId="0" applyFont="1" applyFill="1" applyBorder="1" applyAlignment="1">
      <alignment horizontal="center" vertical="center" shrinkToFit="1"/>
    </xf>
    <xf numFmtId="0" fontId="21" fillId="45" borderId="18" xfId="0" applyFont="1" applyFill="1" applyBorder="1" applyAlignment="1">
      <alignment horizontal="center" vertical="center" shrinkToFit="1"/>
    </xf>
    <xf numFmtId="0" fontId="21" fillId="45" borderId="29" xfId="0" applyFont="1" applyFill="1" applyBorder="1" applyAlignment="1">
      <alignment horizontal="center" vertical="center" shrinkToFit="1"/>
    </xf>
    <xf numFmtId="0" fontId="21" fillId="45" borderId="14" xfId="0" applyFont="1" applyFill="1" applyBorder="1" applyAlignment="1">
      <alignment horizontal="center" vertical="center" shrinkToFit="1"/>
    </xf>
    <xf numFmtId="0" fontId="21" fillId="45" borderId="142" xfId="0" applyFont="1" applyFill="1" applyBorder="1" applyAlignment="1">
      <alignment horizontal="center" shrinkToFit="1"/>
    </xf>
    <xf numFmtId="0" fontId="21" fillId="45" borderId="18" xfId="0" applyFont="1" applyFill="1" applyBorder="1" applyAlignment="1">
      <alignment horizontal="center" shrinkToFit="1"/>
    </xf>
    <xf numFmtId="0" fontId="21" fillId="45" borderId="28" xfId="0" applyFont="1" applyFill="1" applyBorder="1" applyAlignment="1">
      <alignment horizontal="center" shrinkToFit="1"/>
    </xf>
    <xf numFmtId="0" fontId="21" fillId="0" borderId="29" xfId="0" applyFont="1" applyBorder="1" applyAlignment="1">
      <alignment horizontal="distributed" vertical="center" shrinkToFit="1"/>
    </xf>
    <xf numFmtId="0" fontId="21" fillId="0" borderId="14" xfId="0" applyFont="1" applyBorder="1" applyAlignment="1">
      <alignment horizontal="distributed" vertical="center" shrinkToFit="1"/>
    </xf>
    <xf numFmtId="0" fontId="22" fillId="45" borderId="18" xfId="0" applyFont="1" applyFill="1" applyBorder="1" applyAlignment="1">
      <alignment horizontal="center" vertical="center"/>
    </xf>
    <xf numFmtId="0" fontId="22" fillId="45" borderId="14" xfId="0" applyFont="1" applyFill="1" applyBorder="1" applyAlignment="1">
      <alignment horizontal="center" vertical="center"/>
    </xf>
    <xf numFmtId="0" fontId="23" fillId="45" borderId="18" xfId="0" applyFont="1" applyFill="1" applyBorder="1" applyAlignment="1">
      <alignment horizontal="center" shrinkToFit="1"/>
    </xf>
    <xf numFmtId="0" fontId="23" fillId="45" borderId="28" xfId="0" applyFont="1" applyFill="1" applyBorder="1" applyAlignment="1">
      <alignment horizontal="center" shrinkToFit="1"/>
    </xf>
    <xf numFmtId="0" fontId="22" fillId="0" borderId="55" xfId="0" applyFont="1" applyBorder="1" applyAlignment="1">
      <alignment horizontal="distributed"/>
    </xf>
    <xf numFmtId="0" fontId="22" fillId="0" borderId="124" xfId="0" applyFont="1" applyBorder="1" applyAlignment="1">
      <alignment horizontal="distributed"/>
    </xf>
    <xf numFmtId="0" fontId="22" fillId="0" borderId="65" xfId="0" applyFont="1" applyBorder="1" applyAlignment="1">
      <alignment horizontal="distributed"/>
    </xf>
    <xf numFmtId="0" fontId="30" fillId="0" borderId="27" xfId="0" applyFont="1" applyBorder="1" applyAlignment="1">
      <alignment horizont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75"/>
          <c:y val="0.09675"/>
          <c:w val="0.641"/>
          <c:h val="0.800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cat>
            <c:strRef>
              <c:f>'図１'!$B$3:$G$3</c:f>
              <c:strCache/>
            </c:strRef>
          </c:cat>
          <c:val>
            <c:numRef>
              <c:f>'図１'!$B$4:$G$4</c:f>
              <c:numCache/>
            </c:numRef>
          </c:val>
        </c:ser>
        <c:ser>
          <c:idx val="2"/>
          <c:order val="1"/>
          <c:spPr>
            <a:solidFill>
              <a:srgbClr val="9BBB59"/>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000000"/>
                </a:solidFill>
              </a:ln>
            </c:spPr>
          </c:dPt>
          <c:dPt>
            <c:idx val="1"/>
            <c:spPr>
              <a:solidFill>
                <a:srgbClr val="8EB4E3"/>
              </a:solidFill>
              <a:ln w="3175">
                <a:solidFill>
                  <a:srgbClr val="000000"/>
                </a:solidFill>
              </a:ln>
            </c:spPr>
          </c:dPt>
          <c:dPt>
            <c:idx val="2"/>
            <c:spPr>
              <a:solidFill>
                <a:srgbClr val="FDEADA"/>
              </a:solidFill>
              <a:ln w="3175">
                <a:solidFill>
                  <a:srgbClr val="000000"/>
                </a:solidFill>
              </a:ln>
            </c:spPr>
          </c:dPt>
          <c:dPt>
            <c:idx val="3"/>
            <c:spPr>
              <a:solidFill>
                <a:srgbClr val="DCE6F2"/>
              </a:solidFill>
              <a:ln w="3175">
                <a:solidFill>
                  <a:srgbClr val="000000"/>
                </a:solidFill>
              </a:ln>
            </c:spPr>
          </c:dPt>
          <c:dPt>
            <c:idx val="4"/>
            <c:spPr>
              <a:solidFill>
                <a:srgbClr val="FCD5B5"/>
              </a:solidFill>
              <a:ln w="3175">
                <a:solidFill>
                  <a:srgbClr val="000000"/>
                </a:solidFill>
              </a:ln>
            </c:spPr>
          </c:dPt>
          <c:dPt>
            <c:idx val="5"/>
            <c:spPr>
              <a:solidFill>
                <a:srgbClr val="E6B9B8"/>
              </a:solidFill>
              <a:ln w="3175">
                <a:solidFill>
                  <a:srgbClr val="000000"/>
                </a:solidFill>
              </a:ln>
            </c:spPr>
          </c:dPt>
          <c:dLbls>
            <c:dLbl>
              <c:idx val="0"/>
              <c:tx>
                <c:rich>
                  <a:bodyPr vert="horz" rot="0" anchor="ctr"/>
                  <a:lstStyle/>
                  <a:p>
                    <a:pPr algn="ctr">
                      <a:defRPr/>
                    </a:pPr>
                    <a:r>
                      <a:rPr lang="en-US" cap="none" sz="800" b="1" i="0" u="none" baseline="0">
                        <a:solidFill>
                          <a:srgbClr val="000000"/>
                        </a:solidFill>
                        <a:latin typeface="ＭＳ Ｐゴシック"/>
                        <a:ea typeface="ＭＳ Ｐゴシック"/>
                        <a:cs typeface="ＭＳ Ｐゴシック"/>
                      </a:rPr>
                      <a:t>小学校</a:t>
                    </a:r>
                    <a:r>
                      <a:rPr lang="en-US" cap="none" sz="800" b="1" i="0" u="none" baseline="0">
                        <a:solidFill>
                          <a:srgbClr val="000000"/>
                        </a:solidFill>
                      </a:rPr>
                      <a:t>
</a:t>
                    </a:r>
                    <a:r>
                      <a:rPr lang="en-US" cap="none" sz="800" b="1" i="0" u="none" baseline="0">
                        <a:solidFill>
                          <a:srgbClr val="000000"/>
                        </a:solidFill>
                      </a:rPr>
                      <a:t>36.6</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
</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37.2</a:t>
                    </a:r>
                    <a:r>
                      <a:rPr lang="en-US" cap="none" sz="800" b="1" i="0" u="none" baseline="0">
                        <a:solidFill>
                          <a:srgbClr val="000000"/>
                        </a:solidFill>
                        <a:latin typeface="ＭＳ Ｐゴシック"/>
                        <a:ea typeface="ＭＳ Ｐゴシック"/>
                        <a:cs typeface="ＭＳ Ｐゴシック"/>
                      </a:rPr>
                      <a:t>％）</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800" b="1" i="0" u="none" baseline="0">
                        <a:solidFill>
                          <a:srgbClr val="000000"/>
                        </a:solidFill>
                        <a:latin typeface="ＭＳ Ｐゴシック"/>
                        <a:ea typeface="ＭＳ Ｐゴシック"/>
                        <a:cs typeface="ＭＳ Ｐゴシック"/>
                      </a:rPr>
                      <a:t>中学校</a:t>
                    </a:r>
                    <a:r>
                      <a:rPr lang="en-US" cap="none" sz="800" b="1" i="0" u="none" baseline="0">
                        <a:solidFill>
                          <a:srgbClr val="000000"/>
                        </a:solidFill>
                      </a:rPr>
                      <a:t>
</a:t>
                    </a:r>
                    <a:r>
                      <a:rPr lang="en-US" cap="none" sz="800" b="1" i="0" u="none" baseline="0">
                        <a:solidFill>
                          <a:srgbClr val="000000"/>
                        </a:solidFill>
                      </a:rPr>
                      <a:t>20.3</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
</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21.1%)</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800" b="1" i="0" u="none" baseline="0">
                        <a:solidFill>
                          <a:srgbClr val="000000"/>
                        </a:solidFill>
                        <a:latin typeface="ＭＳ Ｐゴシック"/>
                        <a:ea typeface="ＭＳ Ｐゴシック"/>
                        <a:cs typeface="ＭＳ Ｐゴシック"/>
                      </a:rPr>
                      <a:t>高等学校</a:t>
                    </a:r>
                    <a:r>
                      <a:rPr lang="en-US" cap="none" sz="800" b="1" i="0" u="none" baseline="0">
                        <a:solidFill>
                          <a:srgbClr val="000000"/>
                        </a:solidFill>
                      </a:rPr>
                      <a:t>
</a:t>
                    </a:r>
                    <a:r>
                      <a:rPr lang="en-US" cap="none" sz="800" b="1" i="0" u="none" baseline="0">
                        <a:solidFill>
                          <a:srgbClr val="000000"/>
                        </a:solidFill>
                        <a:latin typeface="ＭＳ Ｐゴシック"/>
                        <a:ea typeface="ＭＳ Ｐゴシック"/>
                        <a:cs typeface="ＭＳ Ｐゴシック"/>
                      </a:rPr>
                      <a:t>全日制</a:t>
                    </a:r>
                    <a:r>
                      <a:rPr lang="en-US" cap="none" sz="800" b="1" i="0" u="none" baseline="0">
                        <a:solidFill>
                          <a:srgbClr val="000000"/>
                        </a:solidFill>
                      </a:rPr>
                      <a:t>
</a:t>
                    </a:r>
                    <a:r>
                      <a:rPr lang="en-US" cap="none" sz="800" b="1" i="0" u="none" baseline="0">
                        <a:solidFill>
                          <a:srgbClr val="000000"/>
                        </a:solidFill>
                      </a:rPr>
                      <a:t>18.2</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
</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16.9</a:t>
                    </a:r>
                    <a:r>
                      <a:rPr lang="en-US" cap="none" sz="800" b="1" i="0" u="none" baseline="0">
                        <a:solidFill>
                          <a:srgbClr val="000000"/>
                        </a:solidFill>
                        <a:latin typeface="ＭＳ Ｐゴシック"/>
                        <a:ea typeface="ＭＳ Ｐゴシック"/>
                        <a:cs typeface="ＭＳ Ｐゴシック"/>
                      </a:rPr>
                      <a:t>％）</a:t>
                    </a:r>
                  </a:p>
                </c:rich>
              </c:tx>
              <c:numFmt formatCode="General" sourceLinked="1"/>
              <c:showLegendKey val="0"/>
              <c:showVal val="0"/>
              <c:showBubbleSize val="0"/>
              <c:showCatName val="1"/>
              <c:showSerName val="0"/>
              <c:showPercent val="0"/>
            </c:dLbl>
            <c:dLbl>
              <c:idx val="3"/>
              <c:tx>
                <c:rich>
                  <a:bodyPr vert="horz" rot="0" anchor="ctr"/>
                  <a:lstStyle/>
                  <a:p>
                    <a:pPr algn="ctr">
                      <a:defRPr/>
                    </a:pPr>
                    <a:r>
                      <a:rPr lang="en-US" cap="none" sz="800" b="1" i="0" u="none" baseline="0">
                        <a:solidFill>
                          <a:srgbClr val="000000"/>
                        </a:solidFill>
                      </a:rPr>
                      <a:t>その他</a:t>
                    </a:r>
                    <a:r>
                      <a:rPr lang="en-US" cap="none" sz="800" b="1" i="0" u="none" baseline="0">
                        <a:solidFill>
                          <a:srgbClr val="000000"/>
                        </a:solidFill>
                      </a:rPr>
                      <a:t>
</a:t>
                    </a:r>
                    <a:r>
                      <a:rPr lang="en-US" cap="none" sz="800" b="1" i="0" u="none" baseline="0">
                        <a:solidFill>
                          <a:srgbClr val="000000"/>
                        </a:solidFill>
                      </a:rPr>
                      <a:t>8.9%
</a:t>
                    </a:r>
                    <a:r>
                      <a:rPr lang="en-US" cap="none" sz="800" b="1" i="0" u="none" baseline="0">
                        <a:solidFill>
                          <a:srgbClr val="000000"/>
                        </a:solidFill>
                      </a:rPr>
                      <a:t>(8.7%)
</a:t>
                    </a:r>
                  </a:p>
                </c:rich>
              </c:tx>
              <c:numFmt formatCode="General" sourceLinked="1"/>
              <c:showLegendKey val="0"/>
              <c:showVal val="0"/>
              <c:showBubbleSize val="0"/>
              <c:showCatName val="1"/>
              <c:showSerName val="0"/>
              <c:showPercent val="0"/>
            </c:dLbl>
            <c:dLbl>
              <c:idx val="4"/>
              <c:delete val="1"/>
            </c:dLbl>
            <c:dLbl>
              <c:idx val="5"/>
              <c:delete val="1"/>
            </c:dLbl>
            <c:numFmt formatCode="General" sourceLinked="1"/>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showLegendKey val="0"/>
            <c:showVal val="1"/>
            <c:showBubbleSize val="0"/>
            <c:showCatName val="0"/>
            <c:showSerName val="0"/>
            <c:showLeaderLines val="0"/>
            <c:showPercent val="0"/>
          </c:dLbls>
          <c:cat>
            <c:strRef>
              <c:f>'図１'!$B$3:$G$3</c:f>
              <c:strCache/>
            </c:strRef>
          </c:cat>
          <c:val>
            <c:numRef>
              <c:f>'図１'!$B$6:$G$6</c:f>
              <c:numCache/>
            </c:numRef>
          </c:val>
        </c:ser>
        <c:ser>
          <c:idx val="3"/>
          <c:order val="2"/>
          <c:spPr>
            <a:solidFill>
              <a:srgbClr val="CCFF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FF"/>
              </a:solidFill>
              <a:ln w="3175">
                <a:solidFill>
                  <a:srgbClr val="000000"/>
                </a:solidFill>
              </a:ln>
            </c:spPr>
          </c:dPt>
          <c:dPt>
            <c:idx val="1"/>
            <c:spPr>
              <a:solidFill>
                <a:srgbClr val="CCFFFF"/>
              </a:solidFill>
              <a:ln w="3175">
                <a:solidFill>
                  <a:srgbClr val="000000"/>
                </a:solidFill>
              </a:ln>
            </c:spPr>
          </c:dPt>
          <c:dPt>
            <c:idx val="2"/>
            <c:spPr>
              <a:solidFill>
                <a:srgbClr val="CCFFFF"/>
              </a:solidFill>
              <a:ln w="3175">
                <a:solidFill>
                  <a:srgbClr val="000000"/>
                </a:solidFill>
              </a:ln>
            </c:spPr>
          </c:dPt>
          <c:dPt>
            <c:idx val="3"/>
            <c:spPr>
              <a:solidFill>
                <a:srgbClr val="CCFFFF"/>
              </a:solidFill>
              <a:ln w="3175">
                <a:solidFill>
                  <a:srgbClr val="000000"/>
                </a:solidFill>
              </a:ln>
            </c:spPr>
          </c:dPt>
          <c:dPt>
            <c:idx val="4"/>
            <c:spPr>
              <a:solidFill>
                <a:srgbClr val="FCD5B5"/>
              </a:solidFill>
              <a:ln w="3175">
                <a:solidFill>
                  <a:srgbClr val="000000"/>
                </a:solidFill>
              </a:ln>
            </c:spPr>
          </c:dPt>
          <c:dPt>
            <c:idx val="5"/>
            <c:spPr>
              <a:solidFill>
                <a:srgbClr val="E6B9B8"/>
              </a:solidFill>
              <a:ln w="3175">
                <a:solidFill>
                  <a:srgbClr val="000000"/>
                </a:solidFill>
              </a:ln>
            </c:spPr>
          </c:dPt>
          <c:cat>
            <c:strRef>
              <c:f>'図１'!$B$3:$G$3</c:f>
              <c:strCache/>
            </c:strRef>
          </c:cat>
          <c:val>
            <c:numRef>
              <c:f>'図１'!$B$7:$G$7</c:f>
              <c:numCache/>
            </c:numRef>
          </c:val>
        </c:ser>
        <c:holeSize val="20"/>
      </c:doughnut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4"/>
          <c:y val="0.09275"/>
          <c:w val="0.54875"/>
          <c:h val="0.808"/>
        </c:manualLayout>
      </c:layout>
      <c:doughnut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12700">
                <a:solidFill>
                  <a:srgbClr val="000000"/>
                </a:solidFill>
              </a:ln>
            </c:spPr>
          </c:dPt>
          <c:dPt>
            <c:idx val="1"/>
            <c:spPr>
              <a:solidFill>
                <a:srgbClr val="F8FDB5"/>
              </a:solidFill>
              <a:ln w="12700">
                <a:solidFill>
                  <a:srgbClr val="000000"/>
                </a:solidFill>
              </a:ln>
            </c:spPr>
          </c:dPt>
          <c:dPt>
            <c:idx val="2"/>
            <c:spPr>
              <a:solidFill>
                <a:srgbClr val="FDEADA"/>
              </a:solidFill>
              <a:ln w="12700">
                <a:solidFill>
                  <a:srgbClr val="000000"/>
                </a:solidFill>
              </a:ln>
            </c:spPr>
          </c:dPt>
          <c:dPt>
            <c:idx val="3"/>
            <c:spPr>
              <a:solidFill>
                <a:srgbClr val="C6D9F1"/>
              </a:solidFill>
              <a:ln w="12700">
                <a:solidFill>
                  <a:srgbClr val="000000"/>
                </a:solidFill>
              </a:ln>
            </c:spPr>
          </c:dPt>
          <c:dPt>
            <c:idx val="4"/>
            <c:spPr>
              <a:solidFill>
                <a:srgbClr val="4BACC6"/>
              </a:solidFill>
              <a:ln w="12700">
                <a:solidFill>
                  <a:srgbClr val="000000"/>
                </a:solidFill>
              </a:ln>
            </c:spPr>
          </c:dPt>
          <c:dLbls>
            <c:dLbl>
              <c:idx val="0"/>
              <c:layout>
                <c:manualLayout>
                  <c:x val="0"/>
                  <c:y val="0"/>
                </c:manualLayout>
              </c:layout>
              <c:tx>
                <c:rich>
                  <a:bodyPr vert="horz" rot="0" anchor="ctr"/>
                  <a:lstStyle/>
                  <a:p>
                    <a:pPr algn="ctr">
                      <a:defRPr/>
                    </a:pPr>
                    <a:r>
                      <a:rPr lang="en-US" cap="none" sz="900" b="1" i="0" u="none" baseline="0">
                        <a:solidFill>
                          <a:srgbClr val="000000"/>
                        </a:solidFill>
                      </a:rPr>
                      <a:t>県支出金</a:t>
                    </a:r>
                    <a:r>
                      <a:rPr lang="en-US" cap="none" sz="900" b="1" i="0" u="none" baseline="0">
                        <a:solidFill>
                          <a:srgbClr val="000000"/>
                        </a:solidFill>
                      </a:rPr>
                      <a:t>
</a:t>
                    </a:r>
                    <a:r>
                      <a:rPr lang="en-US" cap="none" sz="900" b="1" i="0" u="none" baseline="0">
                        <a:solidFill>
                          <a:srgbClr val="000000"/>
                        </a:solidFill>
                      </a:rPr>
                      <a:t>55.9</a:t>
                    </a:r>
                    <a:r>
                      <a:rPr lang="en-US" cap="none" sz="900" b="1" i="0" u="none" baseline="0">
                        <a:solidFill>
                          <a:srgbClr val="000000"/>
                        </a:solidFill>
                      </a:rPr>
                      <a:t>％</a:t>
                    </a:r>
                    <a:r>
                      <a:rPr lang="en-US" cap="none" sz="900" b="1" i="0" u="none" baseline="0">
                        <a:solidFill>
                          <a:srgbClr val="000000"/>
                        </a:solidFill>
                      </a:rPr>
                      <a:t>
</a:t>
                    </a:r>
                    <a:r>
                      <a:rPr lang="en-US" cap="none" sz="900" b="1" i="0" u="none" baseline="0">
                        <a:solidFill>
                          <a:srgbClr val="000000"/>
                        </a:solidFill>
                      </a:rPr>
                      <a:t>（</a:t>
                    </a:r>
                    <a:r>
                      <a:rPr lang="en-US" cap="none" sz="900" b="1" i="0" u="none" baseline="0">
                        <a:solidFill>
                          <a:srgbClr val="000000"/>
                        </a:solidFill>
                      </a:rPr>
                      <a:t>54.7</a:t>
                    </a:r>
                    <a:r>
                      <a:rPr lang="en-US" cap="none" sz="900" b="1" i="0" u="none" baseline="0">
                        <a:solidFill>
                          <a:srgbClr val="000000"/>
                        </a:solidFill>
                      </a:rPr>
                      <a:t>％）</a:t>
                    </a:r>
                  </a:p>
                </c:rich>
              </c:tx>
              <c:numFmt formatCode="General" sourceLinked="0"/>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1" i="0" u="none" baseline="0">
                        <a:solidFill>
                          <a:srgbClr val="000000"/>
                        </a:solidFill>
                      </a:rPr>
                      <a:t>市町支出金</a:t>
                    </a:r>
                    <a:r>
                      <a:rPr lang="en-US" cap="none" sz="900" b="1" i="0" u="none" baseline="0">
                        <a:solidFill>
                          <a:srgbClr val="000000"/>
                        </a:solidFill>
                      </a:rPr>
                      <a:t>
</a:t>
                    </a:r>
                    <a:r>
                      <a:rPr lang="en-US" cap="none" sz="900" b="1" i="0" u="none" baseline="0">
                        <a:solidFill>
                          <a:srgbClr val="000000"/>
                        </a:solidFill>
                      </a:rPr>
                      <a:t>28.8</a:t>
                    </a:r>
                    <a:r>
                      <a:rPr lang="en-US" cap="none" sz="900" b="1" i="0" u="none" baseline="0">
                        <a:solidFill>
                          <a:srgbClr val="000000"/>
                        </a:solidFill>
                      </a:rPr>
                      <a:t>％</a:t>
                    </a:r>
                    <a:r>
                      <a:rPr lang="en-US" cap="none" sz="900" b="1" i="0" u="none" baseline="0">
                        <a:solidFill>
                          <a:srgbClr val="000000"/>
                        </a:solidFill>
                      </a:rPr>
                      <a:t>
</a:t>
                    </a:r>
                    <a:r>
                      <a:rPr lang="en-US" cap="none" sz="900" b="1" i="0" u="none" baseline="0">
                        <a:solidFill>
                          <a:srgbClr val="000000"/>
                        </a:solidFill>
                      </a:rPr>
                      <a:t>（</a:t>
                    </a:r>
                    <a:r>
                      <a:rPr lang="en-US" cap="none" sz="900" b="1" i="0" u="none" baseline="0">
                        <a:solidFill>
                          <a:srgbClr val="000000"/>
                        </a:solidFill>
                      </a:rPr>
                      <a:t>28.6</a:t>
                    </a:r>
                    <a:r>
                      <a:rPr lang="en-US" cap="none" sz="900" b="1" i="0" u="none" baseline="0">
                        <a:solidFill>
                          <a:srgbClr val="000000"/>
                        </a:solidFill>
                      </a:rPr>
                      <a:t>％）</a:t>
                    </a:r>
                  </a:p>
                </c:rich>
              </c:tx>
              <c:numFmt formatCode="General" sourceLinked="0"/>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1" i="0" u="none" baseline="0">
                        <a:solidFill>
                          <a:srgbClr val="000000"/>
                        </a:solidFill>
                      </a:rPr>
                      <a:t>国庫補助金</a:t>
                    </a:r>
                    <a:r>
                      <a:rPr lang="en-US" cap="none" sz="900" b="1" i="0" u="none" baseline="0">
                        <a:solidFill>
                          <a:srgbClr val="000000"/>
                        </a:solidFill>
                      </a:rPr>
                      <a:t>
</a:t>
                    </a:r>
                    <a:r>
                      <a:rPr lang="en-US" cap="none" sz="900" b="1" i="0" u="none" baseline="0">
                        <a:solidFill>
                          <a:srgbClr val="000000"/>
                        </a:solidFill>
                      </a:rPr>
                      <a:t>11.6</a:t>
                    </a:r>
                    <a:r>
                      <a:rPr lang="en-US" cap="none" sz="900" b="1" i="0" u="none" baseline="0">
                        <a:solidFill>
                          <a:srgbClr val="000000"/>
                        </a:solidFill>
                      </a:rPr>
                      <a:t>％</a:t>
                    </a:r>
                    <a:r>
                      <a:rPr lang="en-US" cap="none" sz="900" b="1" i="0" u="none" baseline="0">
                        <a:solidFill>
                          <a:srgbClr val="000000"/>
                        </a:solidFill>
                      </a:rPr>
                      <a:t>
</a:t>
                    </a:r>
                    <a:r>
                      <a:rPr lang="en-US" cap="none" sz="900" b="1" i="0" u="none" baseline="0">
                        <a:solidFill>
                          <a:srgbClr val="000000"/>
                        </a:solidFill>
                      </a:rPr>
                      <a:t>（</a:t>
                    </a:r>
                    <a:r>
                      <a:rPr lang="en-US" cap="none" sz="900" b="1" i="0" u="none" baseline="0">
                        <a:solidFill>
                          <a:srgbClr val="000000"/>
                        </a:solidFill>
                      </a:rPr>
                      <a:t>12.9</a:t>
                    </a:r>
                    <a:r>
                      <a:rPr lang="en-US" cap="none" sz="900" b="1" i="0" u="none" baseline="0">
                        <a:solidFill>
                          <a:srgbClr val="000000"/>
                        </a:solidFill>
                      </a:rPr>
                      <a:t>％）</a:t>
                    </a:r>
                  </a:p>
                </c:rich>
              </c:tx>
              <c:numFmt formatCode="General" sourceLinked="0"/>
              <c:showLegendKey val="0"/>
              <c:showVal val="0"/>
              <c:showBubbleSize val="0"/>
              <c:showCatName val="1"/>
              <c:showSerName val="0"/>
              <c:showPercent val="0"/>
            </c:dLbl>
            <c:dLbl>
              <c:idx val="3"/>
              <c:delete val="1"/>
            </c:dLbl>
            <c:dLbl>
              <c:idx val="4"/>
              <c:delete val="1"/>
            </c:dLbl>
            <c:numFmt formatCode="General" sourceLinked="0"/>
            <c:showLegendKey val="0"/>
            <c:showVal val="1"/>
            <c:showBubbleSize val="0"/>
            <c:showCatName val="0"/>
            <c:showSerName val="0"/>
            <c:showLeaderLines val="0"/>
            <c:showPercent val="0"/>
          </c:dLbls>
          <c:cat>
            <c:strRef>
              <c:f>'図2'!$B$1:$F$1</c:f>
              <c:strCache/>
            </c:strRef>
          </c:cat>
          <c:val>
            <c:numRef>
              <c:f>'図2'!$B$2:$F$2</c:f>
              <c:numCache/>
            </c:numRef>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2</xdr:col>
      <xdr:colOff>19050</xdr:colOff>
      <xdr:row>4</xdr:row>
      <xdr:rowOff>114300</xdr:rowOff>
    </xdr:to>
    <xdr:sp>
      <xdr:nvSpPr>
        <xdr:cNvPr id="1" name="直線コネクタ 2"/>
        <xdr:cNvSpPr>
          <a:spLocks/>
        </xdr:cNvSpPr>
      </xdr:nvSpPr>
      <xdr:spPr>
        <a:xfrm>
          <a:off x="400050" y="714375"/>
          <a:ext cx="89535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12</xdr:row>
      <xdr:rowOff>133350</xdr:rowOff>
    </xdr:from>
    <xdr:to>
      <xdr:col>7</xdr:col>
      <xdr:colOff>114300</xdr:colOff>
      <xdr:row>17</xdr:row>
      <xdr:rowOff>95250</xdr:rowOff>
    </xdr:to>
    <xdr:sp>
      <xdr:nvSpPr>
        <xdr:cNvPr id="2" name="テキスト ボックス 12"/>
        <xdr:cNvSpPr txBox="1">
          <a:spLocks noChangeArrowheads="1"/>
        </xdr:cNvSpPr>
      </xdr:nvSpPr>
      <xdr:spPr>
        <a:xfrm>
          <a:off x="2428875" y="2457450"/>
          <a:ext cx="2638425"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１行目の対前年度増加率</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全国値　は手入力。</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D5</a:t>
          </a:r>
          <a:r>
            <a:rPr lang="en-US" cap="none" sz="1100" b="1" i="0" u="none" baseline="0">
              <a:solidFill>
                <a:srgbClr val="FF0000"/>
              </a:solidFill>
              <a:latin typeface="ＭＳ Ｐゴシック"/>
              <a:ea typeface="ＭＳ Ｐゴシック"/>
              <a:cs typeface="ＭＳ Ｐゴシック"/>
            </a:rPr>
            <a:t>」、「Ｉ</a:t>
          </a:r>
          <a:r>
            <a:rPr lang="en-US" cap="none" sz="1100" b="1" i="0" u="none" baseline="0">
              <a:solidFill>
                <a:srgbClr val="FF0000"/>
              </a:solidFill>
              <a:latin typeface="Calibri"/>
              <a:ea typeface="Calibri"/>
              <a:cs typeface="Calibri"/>
            </a:rPr>
            <a:t>5]</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H9]</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I9</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
</a:t>
          </a:r>
        </a:p>
      </xdr:txBody>
    </xdr:sp>
    <xdr:clientData/>
  </xdr:twoCellAnchor>
  <xdr:twoCellAnchor>
    <xdr:from>
      <xdr:col>9</xdr:col>
      <xdr:colOff>0</xdr:colOff>
      <xdr:row>17</xdr:row>
      <xdr:rowOff>0</xdr:rowOff>
    </xdr:from>
    <xdr:to>
      <xdr:col>12</xdr:col>
      <xdr:colOff>581025</xdr:colOff>
      <xdr:row>21</xdr:row>
      <xdr:rowOff>133350</xdr:rowOff>
    </xdr:to>
    <xdr:sp>
      <xdr:nvSpPr>
        <xdr:cNvPr id="3" name="テキスト ボックス 3"/>
        <xdr:cNvSpPr txBox="1">
          <a:spLocks noChangeArrowheads="1"/>
        </xdr:cNvSpPr>
      </xdr:nvSpPr>
      <xdr:spPr>
        <a:xfrm>
          <a:off x="6515100" y="3181350"/>
          <a:ext cx="2638425"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FF0000"/>
              </a:solidFill>
              <a:latin typeface="Calibri"/>
              <a:ea typeface="Calibri"/>
              <a:cs typeface="Calibri"/>
            </a:rPr>
            <a:t>H10</a:t>
          </a:r>
          <a:r>
            <a:rPr lang="en-US" cap="none" sz="1400" b="1" i="0" u="none" baseline="0">
              <a:solidFill>
                <a:srgbClr val="FF0000"/>
              </a:solidFill>
              <a:latin typeface="ＭＳ Ｐゴシック"/>
              <a:ea typeface="ＭＳ Ｐゴシック"/>
              <a:cs typeface="ＭＳ Ｐゴシック"/>
            </a:rPr>
            <a:t>のみ未入力　あとは関数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0</xdr:row>
      <xdr:rowOff>95250</xdr:rowOff>
    </xdr:from>
    <xdr:to>
      <xdr:col>12</xdr:col>
      <xdr:colOff>590550</xdr:colOff>
      <xdr:row>2</xdr:row>
      <xdr:rowOff>266700</xdr:rowOff>
    </xdr:to>
    <xdr:sp>
      <xdr:nvSpPr>
        <xdr:cNvPr id="1" name="テキスト ボックス 2"/>
        <xdr:cNvSpPr txBox="1">
          <a:spLocks noChangeArrowheads="1"/>
        </xdr:cNvSpPr>
      </xdr:nvSpPr>
      <xdr:spPr>
        <a:xfrm>
          <a:off x="5257800" y="95250"/>
          <a:ext cx="2800350"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昨年度小学校　構成比</a:t>
          </a:r>
          <a:r>
            <a:rPr lang="en-US" cap="none" sz="1100" b="0" i="0" u="none" baseline="0">
              <a:solidFill>
                <a:srgbClr val="FF0000"/>
              </a:solidFill>
              <a:latin typeface="Calibri"/>
              <a:ea typeface="Calibri"/>
              <a:cs typeface="Calibri"/>
            </a:rPr>
            <a:t>100</a:t>
          </a:r>
          <a:r>
            <a:rPr lang="en-US" cap="none" sz="1100" b="0" i="0" u="none" baseline="0">
              <a:solidFill>
                <a:srgbClr val="FF0000"/>
              </a:solidFill>
              <a:latin typeface="ＭＳ Ｐゴシック"/>
              <a:ea typeface="ＭＳ Ｐゴシック"/>
              <a:cs typeface="ＭＳ Ｐゴシック"/>
            </a:rPr>
            <a:t>にするため</a:t>
          </a:r>
          <a:r>
            <a:rPr lang="en-US" cap="none" sz="1100" b="0" i="0" u="none" baseline="0">
              <a:solidFill>
                <a:srgbClr val="FF0000"/>
              </a:solidFill>
              <a:latin typeface="Calibri"/>
              <a:ea typeface="Calibri"/>
              <a:cs typeface="Calibri"/>
            </a:rPr>
            <a:t>-0.1</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0.39425</cdr:x>
      <cdr:y>0.386</cdr:y>
    </cdr:from>
    <cdr:to>
      <cdr:x>0.689</cdr:x>
      <cdr:y>0.601</cdr:y>
    </cdr:to>
    <cdr:sp>
      <cdr:nvSpPr>
        <cdr:cNvPr id="1" name="テキスト ボックス 1"/>
        <cdr:cNvSpPr txBox="1">
          <a:spLocks noChangeArrowheads="1"/>
        </cdr:cNvSpPr>
      </cdr:nvSpPr>
      <cdr:spPr>
        <a:xfrm>
          <a:off x="1447800" y="1143000"/>
          <a:ext cx="1085850" cy="638175"/>
        </a:xfrm>
        <a:prstGeom prst="rect">
          <a:avLst/>
        </a:prstGeom>
        <a:noFill/>
        <a:ln w="9525" cmpd="sng">
          <a:noFill/>
        </a:ln>
      </cdr:spPr>
      <cdr:txBody>
        <a:bodyPr vertOverflow="clip" wrap="square"/>
        <a:p>
          <a:pPr algn="l">
            <a:defRPr/>
          </a:pPr>
          <a:r>
            <a:rPr lang="en-US" cap="none" sz="900" b="1" i="0" u="none" baseline="0">
              <a:solidFill>
                <a:srgbClr val="000000"/>
              </a:solidFill>
              <a:latin typeface="ＭＳ Ｐゴシック"/>
              <a:ea typeface="ＭＳ Ｐゴシック"/>
              <a:cs typeface="ＭＳ Ｐゴシック"/>
            </a:rPr>
            <a:t>教育費</a:t>
          </a:r>
          <a:r>
            <a:rPr lang="en-US" cap="none" sz="900" b="1" i="0" u="none" baseline="0">
              <a:solidFill>
                <a:srgbClr val="000000"/>
              </a:solidFill>
              <a:latin typeface="ＭＳ Ｐゴシック"/>
              <a:ea typeface="ＭＳ Ｐゴシック"/>
              <a:cs typeface="ＭＳ Ｐゴシック"/>
            </a:rPr>
            <a:t>総額</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185,172,618</a:t>
          </a:r>
          <a:r>
            <a:rPr lang="en-US" cap="none" sz="900" b="1" i="0" u="none" baseline="0">
              <a:solidFill>
                <a:srgbClr val="000000"/>
              </a:solidFill>
              <a:latin typeface="ＭＳ Ｐゴシック"/>
              <a:ea typeface="ＭＳ Ｐゴシック"/>
              <a:cs typeface="ＭＳ Ｐゴシック"/>
            </a:rPr>
            <a:t>千</a:t>
          </a:r>
          <a:r>
            <a:rPr lang="en-US" cap="none" sz="900" b="1" i="0" u="none" baseline="0">
              <a:solidFill>
                <a:srgbClr val="000000"/>
              </a:solidFill>
              <a:latin typeface="ＭＳ Ｐゴシック"/>
              <a:ea typeface="ＭＳ Ｐゴシック"/>
              <a:cs typeface="ＭＳ Ｐゴシック"/>
            </a:rPr>
            <a:t>円</a:t>
          </a:r>
          <a:r>
            <a:rPr lang="en-US" cap="none" sz="900" b="1" i="0" u="none" baseline="0">
              <a:solidFill>
                <a:srgbClr val="000000"/>
              </a:solidFill>
              <a:latin typeface="Calibri"/>
              <a:ea typeface="Calibri"/>
              <a:cs typeface="Calibri"/>
            </a:rPr>
            <a:t>(184,853,627</a:t>
          </a:r>
          <a:r>
            <a:rPr lang="en-US" cap="none" sz="900" b="1" i="0" u="none" baseline="0">
              <a:solidFill>
                <a:srgbClr val="000000"/>
              </a:solidFill>
              <a:latin typeface="ＭＳ Ｐゴシック"/>
              <a:ea typeface="ＭＳ Ｐゴシック"/>
              <a:cs typeface="ＭＳ Ｐゴシック"/>
            </a:rPr>
            <a:t>千円</a:t>
          </a:r>
          <a:r>
            <a:rPr lang="en-US" cap="none" sz="900" b="1" i="0" u="none" baseline="0">
              <a:solidFill>
                <a:srgbClr val="000000"/>
              </a:solidFill>
              <a:latin typeface="Calibri"/>
              <a:ea typeface="Calibri"/>
              <a:cs typeface="Calibri"/>
            </a:rPr>
            <a:t>)</a:t>
          </a:r>
          <a:r>
            <a:rPr lang="en-US" cap="none" sz="900" b="1" i="0" u="none" baseline="0">
              <a:solidFill>
                <a:srgbClr val="000000"/>
              </a:solidFill>
              <a:latin typeface="Calibri"/>
              <a:ea typeface="Calibri"/>
              <a:cs typeface="Calibri"/>
            </a:rPr>
            <a:t>
</a:t>
          </a:r>
        </a:p>
      </cdr:txBody>
    </cdr:sp>
  </cdr:relSizeAnchor>
  <cdr:relSizeAnchor xmlns:cdr="http://schemas.openxmlformats.org/drawingml/2006/chartDrawing">
    <cdr:from>
      <cdr:x>0.378</cdr:x>
      <cdr:y>0.1415</cdr:y>
    </cdr:from>
    <cdr:to>
      <cdr:x>0.58975</cdr:x>
      <cdr:y>0.36775</cdr:y>
    </cdr:to>
    <cdr:sp>
      <cdr:nvSpPr>
        <cdr:cNvPr id="2" name="テキスト ボックス 2"/>
        <cdr:cNvSpPr txBox="1">
          <a:spLocks noChangeArrowheads="1"/>
        </cdr:cNvSpPr>
      </cdr:nvSpPr>
      <cdr:spPr>
        <a:xfrm>
          <a:off x="1390650" y="419100"/>
          <a:ext cx="781050" cy="676275"/>
        </a:xfrm>
        <a:prstGeom prst="rect">
          <a:avLst/>
        </a:prstGeom>
        <a:noFill/>
        <a:ln w="9525" cmpd="sng">
          <a:noFill/>
        </a:ln>
      </cdr:spPr>
      <c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教育行政費</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6.6%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6.5%</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0.248</cdr:x>
      <cdr:y>0.17825</cdr:y>
    </cdr:from>
    <cdr:to>
      <cdr:x>0.468</cdr:x>
      <cdr:y>0.354</cdr:y>
    </cdr:to>
    <cdr:sp>
      <cdr:nvSpPr>
        <cdr:cNvPr id="3" name="テキスト ボックス 3"/>
        <cdr:cNvSpPr txBox="1">
          <a:spLocks noChangeArrowheads="1"/>
        </cdr:cNvSpPr>
      </cdr:nvSpPr>
      <cdr:spPr>
        <a:xfrm>
          <a:off x="914400" y="523875"/>
          <a:ext cx="809625" cy="523875"/>
        </a:xfrm>
        <a:prstGeom prst="rect">
          <a:avLst/>
        </a:prstGeom>
        <a:noFill/>
        <a:ln w="9525" cmpd="sng">
          <a:noFill/>
        </a:ln>
      </cdr:spPr>
      <c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社会教育費</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Calibri"/>
              <a:ea typeface="Calibri"/>
              <a:cs typeface="Calibri"/>
            </a:rPr>
            <a:t>9.4%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Calibri"/>
              <a:ea typeface="Calibri"/>
              <a:cs typeface="Calibri"/>
            </a:rPr>
            <a:t>9.6%</a:t>
          </a:r>
          <a:r>
            <a:rPr lang="en-US" cap="none" sz="800" b="1" i="0" u="none" baseline="0">
              <a:solidFill>
                <a:srgbClr val="000000"/>
              </a:solidFill>
              <a:latin typeface="ＭＳ Ｐゴシック"/>
              <a:ea typeface="ＭＳ Ｐゴシック"/>
              <a:cs typeface="ＭＳ Ｐゴシック"/>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9</xdr:row>
      <xdr:rowOff>95250</xdr:rowOff>
    </xdr:from>
    <xdr:to>
      <xdr:col>4</xdr:col>
      <xdr:colOff>1066800</xdr:colOff>
      <xdr:row>26</xdr:row>
      <xdr:rowOff>152400</xdr:rowOff>
    </xdr:to>
    <xdr:graphicFrame>
      <xdr:nvGraphicFramePr>
        <xdr:cNvPr id="1" name="グラフ 7"/>
        <xdr:cNvGraphicFramePr/>
      </xdr:nvGraphicFramePr>
      <xdr:xfrm>
        <a:off x="895350" y="1638300"/>
        <a:ext cx="3695700" cy="2971800"/>
      </xdr:xfrm>
      <a:graphic>
        <a:graphicData uri="http://schemas.openxmlformats.org/drawingml/2006/chart">
          <c:chart xmlns:c="http://schemas.openxmlformats.org/drawingml/2006/chart" r:id="rId1"/>
        </a:graphicData>
      </a:graphic>
    </xdr:graphicFrame>
    <xdr:clientData/>
  </xdr:twoCellAnchor>
  <xdr:twoCellAnchor>
    <xdr:from>
      <xdr:col>4</xdr:col>
      <xdr:colOff>142875</xdr:colOff>
      <xdr:row>20</xdr:row>
      <xdr:rowOff>104775</xdr:rowOff>
    </xdr:from>
    <xdr:to>
      <xdr:col>4</xdr:col>
      <xdr:colOff>781050</xdr:colOff>
      <xdr:row>23</xdr:row>
      <xdr:rowOff>66675</xdr:rowOff>
    </xdr:to>
    <xdr:sp>
      <xdr:nvSpPr>
        <xdr:cNvPr id="2" name="AutoShape 1"/>
        <xdr:cNvSpPr>
          <a:spLocks/>
        </xdr:cNvSpPr>
      </xdr:nvSpPr>
      <xdr:spPr>
        <a:xfrm>
          <a:off x="3667125" y="3533775"/>
          <a:ext cx="638175" cy="476250"/>
        </a:xfrm>
        <a:prstGeom prst="borderCallout1">
          <a:avLst>
            <a:gd name="adj1" fmla="val -102111"/>
            <a:gd name="adj2" fmla="val -9999"/>
            <a:gd name="adj3" fmla="val -39236"/>
            <a:gd name="adj4" fmla="val 3254"/>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学校教育費</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84.0</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8</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9</a:t>
          </a:r>
          <a:r>
            <a:rPr lang="en-US" cap="none" sz="6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714375</xdr:colOff>
      <xdr:row>24</xdr:row>
      <xdr:rowOff>123825</xdr:rowOff>
    </xdr:from>
    <xdr:to>
      <xdr:col>5</xdr:col>
      <xdr:colOff>238125</xdr:colOff>
      <xdr:row>26</xdr:row>
      <xdr:rowOff>95250</xdr:rowOff>
    </xdr:to>
    <xdr:sp>
      <xdr:nvSpPr>
        <xdr:cNvPr id="3" name="テキスト ボックス 1"/>
        <xdr:cNvSpPr txBox="1">
          <a:spLocks noChangeArrowheads="1"/>
        </xdr:cNvSpPr>
      </xdr:nvSpPr>
      <xdr:spPr>
        <a:xfrm>
          <a:off x="3143250" y="4238625"/>
          <a:ext cx="1771650" cy="3143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注（　）は</a:t>
          </a:r>
          <a:r>
            <a:rPr lang="en-US" cap="none" sz="900" b="0" i="0" u="none" baseline="0">
              <a:solidFill>
                <a:srgbClr val="000000"/>
              </a:solidFill>
              <a:latin typeface="ＭＳ Ｐゴシック"/>
              <a:ea typeface="ＭＳ Ｐゴシック"/>
              <a:cs typeface="ＭＳ Ｐゴシック"/>
            </a:rPr>
            <a:t>令和２</a:t>
          </a:r>
          <a:r>
            <a:rPr lang="en-US" cap="none" sz="900" b="0" i="0" u="none" baseline="0">
              <a:solidFill>
                <a:srgbClr val="000000"/>
              </a:solidFill>
              <a:latin typeface="ＭＳ Ｐゴシック"/>
              <a:ea typeface="ＭＳ Ｐゴシック"/>
              <a:cs typeface="ＭＳ Ｐゴシック"/>
            </a:rPr>
            <a:t>会計年度</a:t>
          </a:r>
          <a:r>
            <a:rPr lang="en-US" cap="none" sz="9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22</xdr:row>
      <xdr:rowOff>28575</xdr:rowOff>
    </xdr:from>
    <xdr:to>
      <xdr:col>8</xdr:col>
      <xdr:colOff>457200</xdr:colOff>
      <xdr:row>30</xdr:row>
      <xdr:rowOff>95250</xdr:rowOff>
    </xdr:to>
    <xdr:sp>
      <xdr:nvSpPr>
        <xdr:cNvPr id="1" name="テキスト ボックス 1"/>
        <xdr:cNvSpPr txBox="1">
          <a:spLocks noChangeArrowheads="1"/>
        </xdr:cNvSpPr>
      </xdr:nvSpPr>
      <xdr:spPr>
        <a:xfrm>
          <a:off x="4038600" y="4152900"/>
          <a:ext cx="1857375" cy="1438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FF0000"/>
              </a:solidFill>
              <a:latin typeface="ＭＳ Ｐゴシック"/>
              <a:ea typeface="ＭＳ Ｐゴシック"/>
              <a:cs typeface="ＭＳ Ｐゴシック"/>
            </a:rPr>
            <a:t>昨年度</a:t>
          </a:r>
          <a:r>
            <a:rPr lang="en-US" cap="none" sz="1400" b="0" i="0" u="none" baseline="0">
              <a:solidFill>
                <a:srgbClr val="FF0000"/>
              </a:solidFill>
              <a:latin typeface="Calibri"/>
              <a:ea typeface="Calibri"/>
              <a:cs typeface="Calibri"/>
            </a:rPr>
            <a:t>100</a:t>
          </a:r>
          <a:r>
            <a:rPr lang="en-US" cap="none" sz="1400" b="0" i="0" u="none" baseline="0">
              <a:solidFill>
                <a:srgbClr val="FF0000"/>
              </a:solidFill>
              <a:latin typeface="ＭＳ Ｐゴシック"/>
              <a:ea typeface="ＭＳ Ｐゴシック"/>
              <a:cs typeface="ＭＳ Ｐゴシック"/>
            </a:rPr>
            <a:t>にするために</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ＭＳ Ｐゴシック"/>
              <a:ea typeface="ＭＳ Ｐゴシック"/>
              <a:cs typeface="ＭＳ Ｐゴシック"/>
            </a:rPr>
            <a:t>県支出金構成比</a:t>
          </a:r>
          <a:r>
            <a:rPr lang="en-US" cap="none" sz="1400" b="0" i="0" u="none" baseline="0">
              <a:solidFill>
                <a:srgbClr val="FF0000"/>
              </a:solidFill>
              <a:latin typeface="Calibri"/>
              <a:ea typeface="Calibri"/>
              <a:cs typeface="Calibri"/>
            </a:rPr>
            <a:t>54.6⇒54.7</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0.3935</cdr:x>
      <cdr:y>0.40575</cdr:y>
    </cdr:from>
    <cdr:to>
      <cdr:x>0.68825</cdr:x>
      <cdr:y>0.6305</cdr:y>
    </cdr:to>
    <cdr:sp>
      <cdr:nvSpPr>
        <cdr:cNvPr id="1" name="テキスト ボックス 1"/>
        <cdr:cNvSpPr txBox="1">
          <a:spLocks noChangeArrowheads="1"/>
        </cdr:cNvSpPr>
      </cdr:nvSpPr>
      <cdr:spPr>
        <a:xfrm>
          <a:off x="1876425" y="1323975"/>
          <a:ext cx="1409700" cy="733425"/>
        </a:xfrm>
        <a:prstGeom prst="rect">
          <a:avLst/>
        </a:prstGeom>
        <a:noFill/>
        <a:ln w="9525" cmpd="sng">
          <a:noFill/>
        </a:ln>
      </cdr:spPr>
      <cdr:txBody>
        <a:bodyPr vertOverflow="clip" wrap="square"/>
        <a:p>
          <a:pPr algn="l">
            <a:defRPr/>
          </a:pPr>
          <a:r>
            <a:rPr lang="en-US" cap="none" sz="900" b="1" i="0" u="none" baseline="0">
              <a:solidFill>
                <a:srgbClr val="000000"/>
              </a:solidFill>
              <a:latin typeface="ＭＳ 明朝"/>
              <a:ea typeface="ＭＳ 明朝"/>
              <a:cs typeface="ＭＳ 明朝"/>
            </a:rPr>
            <a:t>教育費</a:t>
          </a:r>
          <a:r>
            <a:rPr lang="en-US" cap="none" sz="900" b="1" i="0" u="none" baseline="0">
              <a:solidFill>
                <a:srgbClr val="000000"/>
              </a:solidFill>
              <a:latin typeface="ＭＳ 明朝"/>
              <a:ea typeface="ＭＳ 明朝"/>
              <a:cs typeface="ＭＳ 明朝"/>
            </a:rPr>
            <a:t>総額</a:t>
          </a:r>
          <a:r>
            <a:rPr lang="en-US" cap="none" sz="900" b="1" i="0" u="none" baseline="0">
              <a:solidFill>
                <a:srgbClr val="000000"/>
              </a:solidFill>
              <a:latin typeface="ＭＳ 明朝"/>
              <a:ea typeface="ＭＳ 明朝"/>
              <a:cs typeface="ＭＳ 明朝"/>
            </a:rPr>
            <a:t>
</a:t>
          </a:r>
          <a:r>
            <a:rPr lang="en-US" cap="none" sz="900" b="1" i="0" u="none" baseline="0">
              <a:solidFill>
                <a:srgbClr val="000000"/>
              </a:solidFill>
              <a:latin typeface="ＭＳ 明朝"/>
              <a:ea typeface="ＭＳ 明朝"/>
              <a:cs typeface="ＭＳ 明朝"/>
            </a:rPr>
            <a:t>185,172,618</a:t>
          </a:r>
          <a:r>
            <a:rPr lang="en-US" cap="none" sz="900" b="1" i="0" u="none" baseline="0">
              <a:solidFill>
                <a:srgbClr val="000000"/>
              </a:solidFill>
              <a:latin typeface="ＭＳ 明朝"/>
              <a:ea typeface="ＭＳ 明朝"/>
              <a:cs typeface="ＭＳ 明朝"/>
            </a:rPr>
            <a:t>千</a:t>
          </a:r>
          <a:r>
            <a:rPr lang="en-US" cap="none" sz="900" b="1" i="0" u="none" baseline="0">
              <a:solidFill>
                <a:srgbClr val="000000"/>
              </a:solidFill>
              <a:latin typeface="ＭＳ 明朝"/>
              <a:ea typeface="ＭＳ 明朝"/>
              <a:cs typeface="ＭＳ 明朝"/>
            </a:rPr>
            <a:t>円</a:t>
          </a:r>
          <a:r>
            <a:rPr lang="en-US" cap="none" sz="900" b="1" i="0" u="none" baseline="0">
              <a:solidFill>
                <a:srgbClr val="000000"/>
              </a:solidFill>
              <a:latin typeface="ＭＳ 明朝"/>
              <a:ea typeface="ＭＳ 明朝"/>
              <a:cs typeface="ＭＳ 明朝"/>
            </a:rPr>
            <a:t>(184,853,627</a:t>
          </a:r>
          <a:r>
            <a:rPr lang="en-US" cap="none" sz="900" b="1" i="0" u="none" baseline="0">
              <a:solidFill>
                <a:srgbClr val="000000"/>
              </a:solidFill>
              <a:latin typeface="ＭＳ 明朝"/>
              <a:ea typeface="ＭＳ 明朝"/>
              <a:cs typeface="ＭＳ 明朝"/>
            </a:rPr>
            <a:t>千円</a:t>
          </a:r>
          <a:r>
            <a:rPr lang="en-US" cap="none" sz="900" b="1" i="0" u="none" baseline="0">
              <a:solidFill>
                <a:srgbClr val="000000"/>
              </a:solidFill>
              <a:latin typeface="ＭＳ 明朝"/>
              <a:ea typeface="ＭＳ 明朝"/>
              <a:cs typeface="ＭＳ 明朝"/>
            </a:rPr>
            <a:t>)</a:t>
          </a:r>
          <a:r>
            <a:rPr lang="en-US" cap="none" sz="900" b="1" i="0" u="none" baseline="0">
              <a:solidFill>
                <a:srgbClr val="000000"/>
              </a:solidFill>
              <a:latin typeface="ＭＳ 明朝"/>
              <a:ea typeface="ＭＳ 明朝"/>
              <a:cs typeface="ＭＳ 明朝"/>
            </a:rPr>
            <a:t>
</a:t>
          </a:r>
        </a:p>
      </cdr:txBody>
    </cdr:sp>
  </cdr:relSizeAnchor>
  <cdr:relSizeAnchor xmlns:cdr="http://schemas.openxmlformats.org/drawingml/2006/chartDrawing">
    <cdr:from>
      <cdr:x>0.42775</cdr:x>
      <cdr:y>0.09525</cdr:y>
    </cdr:from>
    <cdr:to>
      <cdr:x>0.4765</cdr:x>
      <cdr:y>0.176</cdr:y>
    </cdr:to>
    <cdr:sp>
      <cdr:nvSpPr>
        <cdr:cNvPr id="2" name="直線矢印コネクタ 3"/>
        <cdr:cNvSpPr>
          <a:spLocks/>
        </cdr:cNvSpPr>
      </cdr:nvSpPr>
      <cdr:spPr>
        <a:xfrm>
          <a:off x="2038350" y="304800"/>
          <a:ext cx="228600" cy="266700"/>
        </a:xfrm>
        <a:prstGeom prst="straightConnector1">
          <a:avLst/>
        </a:prstGeom>
        <a:noFill/>
        <a:ln w="9525" cmpd="sng">
          <a:solidFill>
            <a:srgbClr val="000000"/>
          </a:solidFill>
          <a:headEnd type="none"/>
          <a:tailEnd type="triangl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0.50225</cdr:x>
      <cdr:y>0.11625</cdr:y>
    </cdr:from>
    <cdr:to>
      <cdr:x>0.6345</cdr:x>
      <cdr:y>0.176</cdr:y>
    </cdr:to>
    <cdr:sp>
      <cdr:nvSpPr>
        <cdr:cNvPr id="3" name="直線矢印コネクタ 7"/>
        <cdr:cNvSpPr>
          <a:spLocks/>
        </cdr:cNvSpPr>
      </cdr:nvSpPr>
      <cdr:spPr>
        <a:xfrm flipH="1">
          <a:off x="2390775" y="371475"/>
          <a:ext cx="628650" cy="190500"/>
        </a:xfrm>
        <a:prstGeom prst="straightConnector1">
          <a:avLst/>
        </a:prstGeom>
        <a:noFill/>
        <a:ln w="9525" cmpd="sng">
          <a:solidFill>
            <a:srgbClr val="000000"/>
          </a:solidFill>
          <a:headEnd type="none"/>
          <a:tailEnd type="triangl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0.645</cdr:x>
      <cdr:y>0.03925</cdr:y>
    </cdr:from>
    <cdr:to>
      <cdr:x>0.79225</cdr:x>
      <cdr:y>0.239</cdr:y>
    </cdr:to>
    <cdr:sp fLocksText="0">
      <cdr:nvSpPr>
        <cdr:cNvPr id="4" name="テキスト ボックス 13"/>
        <cdr:cNvSpPr txBox="1">
          <a:spLocks noChangeArrowheads="1"/>
        </cdr:cNvSpPr>
      </cdr:nvSpPr>
      <cdr:spPr>
        <a:xfrm>
          <a:off x="3076575" y="123825"/>
          <a:ext cx="704850" cy="657225"/>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0.62575</cdr:x>
      <cdr:y>-0.0075</cdr:y>
    </cdr:from>
    <cdr:to>
      <cdr:x>0.7775</cdr:x>
      <cdr:y>0.21075</cdr:y>
    </cdr:to>
    <cdr:sp>
      <cdr:nvSpPr>
        <cdr:cNvPr id="5" name="テキスト ボックス 14"/>
        <cdr:cNvSpPr txBox="1">
          <a:spLocks noChangeArrowheads="1"/>
        </cdr:cNvSpPr>
      </cdr:nvSpPr>
      <cdr:spPr>
        <a:xfrm>
          <a:off x="2981325" y="-19049"/>
          <a:ext cx="723900" cy="714375"/>
        </a:xfrm>
        <a:prstGeom prst="rect">
          <a:avLst/>
        </a:prstGeom>
        <a:noFill/>
        <a:ln w="9525" cmpd="sng">
          <a:noFill/>
        </a:ln>
      </cdr:spPr>
      <cdr:txBody>
        <a:bodyPr vertOverflow="clip" wrap="square"/>
        <a:p>
          <a:pPr algn="l">
            <a:defRPr/>
          </a:pPr>
          <a:r>
            <a:rPr lang="en-US" cap="none" sz="800" b="1" i="0" u="none" baseline="0">
              <a:solidFill>
                <a:srgbClr val="000000"/>
              </a:solidFill>
              <a:latin typeface="ＭＳ 明朝"/>
              <a:ea typeface="ＭＳ 明朝"/>
              <a:cs typeface="ＭＳ 明朝"/>
            </a:rPr>
            <a:t>寄付金</a:t>
          </a:r>
          <a:r>
            <a:rPr lang="en-US" cap="none" sz="800" b="1" i="0" u="none" baseline="0">
              <a:solidFill>
                <a:srgbClr val="000000"/>
              </a:solidFill>
              <a:latin typeface="ＭＳ 明朝"/>
              <a:ea typeface="ＭＳ 明朝"/>
              <a:cs typeface="ＭＳ 明朝"/>
            </a:rPr>
            <a:t>
</a:t>
          </a:r>
          <a:r>
            <a:rPr lang="en-US" cap="none" sz="800" b="1" i="0" u="none" baseline="0">
              <a:solidFill>
                <a:srgbClr val="000000"/>
              </a:solidFill>
              <a:latin typeface="ＭＳ 明朝"/>
              <a:ea typeface="ＭＳ 明朝"/>
              <a:cs typeface="ＭＳ 明朝"/>
            </a:rPr>
            <a:t>0.0</a:t>
          </a:r>
          <a:r>
            <a:rPr lang="en-US" cap="none" sz="800" b="1" i="0" u="none" baseline="0">
              <a:solidFill>
                <a:srgbClr val="000000"/>
              </a:solidFill>
              <a:latin typeface="ＭＳ 明朝"/>
              <a:ea typeface="ＭＳ 明朝"/>
              <a:cs typeface="ＭＳ 明朝"/>
            </a:rPr>
            <a:t>％</a:t>
          </a:r>
          <a:r>
            <a:rPr lang="en-US" cap="none" sz="800" b="1" i="0" u="none" baseline="0">
              <a:solidFill>
                <a:srgbClr val="000000"/>
              </a:solidFill>
              <a:latin typeface="ＭＳ 明朝"/>
              <a:ea typeface="ＭＳ 明朝"/>
              <a:cs typeface="ＭＳ 明朝"/>
            </a:rPr>
            <a:t>
</a:t>
          </a:r>
          <a:r>
            <a:rPr lang="en-US" cap="none" sz="800" b="1" i="0" u="none" baseline="0">
              <a:solidFill>
                <a:srgbClr val="000000"/>
              </a:solidFill>
              <a:latin typeface="ＭＳ 明朝"/>
              <a:ea typeface="ＭＳ 明朝"/>
              <a:cs typeface="ＭＳ 明朝"/>
            </a:rPr>
            <a:t>（</a:t>
          </a:r>
          <a:r>
            <a:rPr lang="en-US" cap="none" sz="800" b="1" i="0" u="none" baseline="0">
              <a:solidFill>
                <a:srgbClr val="000000"/>
              </a:solidFill>
              <a:latin typeface="ＭＳ 明朝"/>
              <a:ea typeface="ＭＳ 明朝"/>
              <a:cs typeface="ＭＳ 明朝"/>
            </a:rPr>
            <a:t>0.0</a:t>
          </a:r>
          <a:r>
            <a:rPr lang="en-US" cap="none" sz="800" b="1"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0.3135</cdr:x>
      <cdr:y>-0.016</cdr:y>
    </cdr:from>
    <cdr:to>
      <cdr:x>0.3135</cdr:x>
      <cdr:y>-0.016</cdr:y>
    </cdr:to>
    <cdr:sp>
      <cdr:nvSpPr>
        <cdr:cNvPr id="6" name="テキスト ボックス 1"/>
        <cdr:cNvSpPr txBox="1">
          <a:spLocks noChangeArrowheads="1"/>
        </cdr:cNvSpPr>
      </cdr:nvSpPr>
      <cdr:spPr>
        <a:xfrm>
          <a:off x="1495425" y="-47624"/>
          <a:ext cx="0" cy="0"/>
        </a:xfrm>
        <a:prstGeom prst="rect">
          <a:avLst/>
        </a:prstGeom>
        <a:noFill/>
        <a:ln w="9525" cmpd="sng">
          <a:noFill/>
        </a:ln>
      </cdr:spPr>
      <cdr:txBody>
        <a:bodyPr vertOverflow="clip" wrap="square"/>
        <a:p>
          <a:pPr algn="l">
            <a:defRPr/>
          </a:pPr>
          <a:r>
            <a:rPr lang="en-US" cap="none" sz="800" b="1" i="0" u="none" baseline="0">
              <a:solidFill>
                <a:srgbClr val="000000"/>
              </a:solidFill>
              <a:latin typeface="ＭＳ 明朝"/>
              <a:ea typeface="ＭＳ 明朝"/>
              <a:cs typeface="ＭＳ 明朝"/>
            </a:rPr>
            <a:t>地方債</a:t>
          </a:r>
          <a:r>
            <a:rPr lang="en-US" cap="none" sz="800" b="1" i="0" u="none" baseline="0">
              <a:solidFill>
                <a:srgbClr val="000000"/>
              </a:solidFill>
              <a:latin typeface="ＭＳ 明朝"/>
              <a:ea typeface="ＭＳ 明朝"/>
              <a:cs typeface="ＭＳ 明朝"/>
            </a:rPr>
            <a:t>
</a:t>
          </a:r>
          <a:r>
            <a:rPr lang="en-US" cap="none" sz="800" b="1" i="0" u="none" baseline="0">
              <a:solidFill>
                <a:srgbClr val="000000"/>
              </a:solidFill>
              <a:latin typeface="ＭＳ 明朝"/>
              <a:ea typeface="ＭＳ 明朝"/>
              <a:cs typeface="ＭＳ 明朝"/>
            </a:rPr>
            <a:t>3.8</a:t>
          </a:r>
          <a:r>
            <a:rPr lang="en-US" cap="none" sz="800" b="1" i="0" u="none" baseline="0">
              <a:solidFill>
                <a:srgbClr val="000000"/>
              </a:solidFill>
              <a:latin typeface="ＭＳ 明朝"/>
              <a:ea typeface="ＭＳ 明朝"/>
              <a:cs typeface="ＭＳ 明朝"/>
            </a:rPr>
            <a:t>％</a:t>
          </a:r>
          <a:r>
            <a:rPr lang="en-US" cap="none" sz="800" b="1" i="0" u="none" baseline="0">
              <a:solidFill>
                <a:srgbClr val="000000"/>
              </a:solidFill>
              <a:latin typeface="ＭＳ 明朝"/>
              <a:ea typeface="ＭＳ 明朝"/>
              <a:cs typeface="ＭＳ 明朝"/>
            </a:rPr>
            <a:t>
</a:t>
          </a:r>
          <a:r>
            <a:rPr lang="en-US" cap="none" sz="800" b="1" i="0" u="none" baseline="0">
              <a:solidFill>
                <a:srgbClr val="000000"/>
              </a:solidFill>
              <a:latin typeface="ＭＳ 明朝"/>
              <a:ea typeface="ＭＳ 明朝"/>
              <a:cs typeface="ＭＳ 明朝"/>
            </a:rPr>
            <a:t>（</a:t>
          </a:r>
          <a:r>
            <a:rPr lang="en-US" cap="none" sz="800" b="1" i="0" u="none" baseline="0">
              <a:solidFill>
                <a:srgbClr val="000000"/>
              </a:solidFill>
              <a:latin typeface="ＭＳ 明朝"/>
              <a:ea typeface="ＭＳ 明朝"/>
              <a:cs typeface="ＭＳ 明朝"/>
            </a:rPr>
            <a:t>7.4</a:t>
          </a:r>
          <a:r>
            <a:rPr lang="en-US" cap="none" sz="800" b="1"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0.31175</cdr:x>
      <cdr:y>-0.016</cdr:y>
    </cdr:from>
    <cdr:to>
      <cdr:x>0.46325</cdr:x>
      <cdr:y>0.202</cdr:y>
    </cdr:to>
    <cdr:sp>
      <cdr:nvSpPr>
        <cdr:cNvPr id="7" name="テキスト ボックス 1"/>
        <cdr:cNvSpPr txBox="1">
          <a:spLocks noChangeArrowheads="1"/>
        </cdr:cNvSpPr>
      </cdr:nvSpPr>
      <cdr:spPr>
        <a:xfrm>
          <a:off x="1485900" y="-47624"/>
          <a:ext cx="723900" cy="714375"/>
        </a:xfrm>
        <a:prstGeom prst="rect">
          <a:avLst/>
        </a:prstGeom>
        <a:noFill/>
        <a:ln w="9525" cmpd="sng">
          <a:noFill/>
        </a:ln>
      </cdr:spPr>
      <cdr:txBody>
        <a:bodyPr vertOverflow="clip" wrap="square"/>
        <a:p>
          <a:pPr algn="l">
            <a:defRPr/>
          </a:pPr>
          <a:r>
            <a:rPr lang="en-US" cap="none" sz="800" b="1" i="0" u="none" baseline="0">
              <a:solidFill>
                <a:srgbClr val="000000"/>
              </a:solidFill>
              <a:latin typeface="ＭＳ 明朝"/>
              <a:ea typeface="ＭＳ 明朝"/>
              <a:cs typeface="ＭＳ 明朝"/>
            </a:rPr>
            <a:t>地方債</a:t>
          </a:r>
          <a:r>
            <a:rPr lang="en-US" cap="none" sz="800" b="1" i="0" u="none" baseline="0">
              <a:solidFill>
                <a:srgbClr val="000000"/>
              </a:solidFill>
              <a:latin typeface="ＭＳ 明朝"/>
              <a:ea typeface="ＭＳ 明朝"/>
              <a:cs typeface="ＭＳ 明朝"/>
            </a:rPr>
            <a:t>
</a:t>
          </a:r>
          <a:r>
            <a:rPr lang="en-US" cap="none" sz="800" b="1" i="0" u="none" baseline="0">
              <a:solidFill>
                <a:srgbClr val="000000"/>
              </a:solidFill>
              <a:latin typeface="ＭＳ 明朝"/>
              <a:ea typeface="ＭＳ 明朝"/>
              <a:cs typeface="ＭＳ 明朝"/>
            </a:rPr>
            <a:t>3.7</a:t>
          </a:r>
          <a:r>
            <a:rPr lang="en-US" cap="none" sz="800" b="1" i="0" u="none" baseline="0">
              <a:solidFill>
                <a:srgbClr val="000000"/>
              </a:solidFill>
              <a:latin typeface="ＭＳ 明朝"/>
              <a:ea typeface="ＭＳ 明朝"/>
              <a:cs typeface="ＭＳ 明朝"/>
            </a:rPr>
            <a:t>％</a:t>
          </a:r>
          <a:r>
            <a:rPr lang="en-US" cap="none" sz="800" b="1" i="0" u="none" baseline="0">
              <a:solidFill>
                <a:srgbClr val="000000"/>
              </a:solidFill>
              <a:latin typeface="ＭＳ 明朝"/>
              <a:ea typeface="ＭＳ 明朝"/>
              <a:cs typeface="ＭＳ 明朝"/>
            </a:rPr>
            <a:t>
</a:t>
          </a:r>
          <a:r>
            <a:rPr lang="en-US" cap="none" sz="800" b="1" i="0" u="none" baseline="0">
              <a:solidFill>
                <a:srgbClr val="000000"/>
              </a:solidFill>
              <a:latin typeface="ＭＳ 明朝"/>
              <a:ea typeface="ＭＳ 明朝"/>
              <a:cs typeface="ＭＳ 明朝"/>
            </a:rPr>
            <a:t>（</a:t>
          </a:r>
          <a:r>
            <a:rPr lang="en-US" cap="none" sz="800" b="1" i="0" u="none" baseline="0">
              <a:solidFill>
                <a:srgbClr val="000000"/>
              </a:solidFill>
              <a:latin typeface="ＭＳ 明朝"/>
              <a:ea typeface="ＭＳ 明朝"/>
              <a:cs typeface="ＭＳ 明朝"/>
            </a:rPr>
            <a:t>3.8</a:t>
          </a:r>
          <a:r>
            <a:rPr lang="en-US" cap="none" sz="800" b="1"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0.63</cdr:x>
      <cdr:y>0.8755</cdr:y>
    </cdr:from>
    <cdr:to>
      <cdr:x>1</cdr:x>
      <cdr:y>0.975</cdr:y>
    </cdr:to>
    <cdr:sp>
      <cdr:nvSpPr>
        <cdr:cNvPr id="8" name="テキスト ボックス 1"/>
        <cdr:cNvSpPr txBox="1">
          <a:spLocks noChangeArrowheads="1"/>
        </cdr:cNvSpPr>
      </cdr:nvSpPr>
      <cdr:spPr>
        <a:xfrm>
          <a:off x="3000375" y="2857500"/>
          <a:ext cx="1819275" cy="323850"/>
        </a:xfrm>
        <a:prstGeom prst="rect">
          <a:avLst/>
        </a:prstGeom>
        <a:noFill/>
        <a:ln w="9525" cmpd="sng">
          <a:noFill/>
        </a:ln>
      </cdr:spPr>
      <c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注（　）は</a:t>
          </a:r>
          <a:r>
            <a:rPr lang="en-US" cap="none" sz="900" b="0" i="0" u="none" baseline="0">
              <a:solidFill>
                <a:srgbClr val="000000"/>
              </a:solidFill>
              <a:latin typeface="ＭＳ Ｐゴシック"/>
              <a:ea typeface="ＭＳ Ｐゴシック"/>
              <a:cs typeface="ＭＳ Ｐゴシック"/>
            </a:rPr>
            <a:t>令和２</a:t>
          </a:r>
          <a:r>
            <a:rPr lang="en-US" cap="none" sz="900" b="0" i="0" u="none" baseline="0">
              <a:solidFill>
                <a:srgbClr val="000000"/>
              </a:solidFill>
              <a:latin typeface="ＭＳ Ｐゴシック"/>
              <a:ea typeface="ＭＳ Ｐゴシック"/>
              <a:cs typeface="ＭＳ Ｐゴシック"/>
            </a:rPr>
            <a:t>会計年度</a:t>
          </a:r>
          <a:r>
            <a:rPr lang="en-US" cap="none" sz="900" b="0" i="0" u="none" baseline="0">
              <a:solidFill>
                <a:srgbClr val="000000"/>
              </a:solidFill>
              <a:latin typeface="Calibri"/>
              <a:ea typeface="Calibri"/>
              <a:cs typeface="Calibri"/>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xdr:row>
      <xdr:rowOff>95250</xdr:rowOff>
    </xdr:from>
    <xdr:to>
      <xdr:col>9</xdr:col>
      <xdr:colOff>0</xdr:colOff>
      <xdr:row>23</xdr:row>
      <xdr:rowOff>104775</xdr:rowOff>
    </xdr:to>
    <xdr:graphicFrame>
      <xdr:nvGraphicFramePr>
        <xdr:cNvPr id="1" name="グラフ 1"/>
        <xdr:cNvGraphicFramePr/>
      </xdr:nvGraphicFramePr>
      <xdr:xfrm>
        <a:off x="1400175" y="781050"/>
        <a:ext cx="4772025" cy="32670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180975</xdr:rowOff>
    </xdr:from>
    <xdr:to>
      <xdr:col>3</xdr:col>
      <xdr:colOff>9525</xdr:colOff>
      <xdr:row>21</xdr:row>
      <xdr:rowOff>0</xdr:rowOff>
    </xdr:to>
    <xdr:sp>
      <xdr:nvSpPr>
        <xdr:cNvPr id="1" name="直線コネクタ 2"/>
        <xdr:cNvSpPr>
          <a:spLocks/>
        </xdr:cNvSpPr>
      </xdr:nvSpPr>
      <xdr:spPr>
        <a:xfrm>
          <a:off x="695325" y="4210050"/>
          <a:ext cx="2085975" cy="7810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xdr:row>
      <xdr:rowOff>9525</xdr:rowOff>
    </xdr:from>
    <xdr:to>
      <xdr:col>3</xdr:col>
      <xdr:colOff>9525</xdr:colOff>
      <xdr:row>5</xdr:row>
      <xdr:rowOff>0</xdr:rowOff>
    </xdr:to>
    <xdr:sp>
      <xdr:nvSpPr>
        <xdr:cNvPr id="2" name="直線コネクタ 4"/>
        <xdr:cNvSpPr>
          <a:spLocks/>
        </xdr:cNvSpPr>
      </xdr:nvSpPr>
      <xdr:spPr>
        <a:xfrm>
          <a:off x="676275" y="361950"/>
          <a:ext cx="2105025" cy="771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13</xdr:row>
      <xdr:rowOff>19050</xdr:rowOff>
    </xdr:from>
    <xdr:to>
      <xdr:col>9</xdr:col>
      <xdr:colOff>514350</xdr:colOff>
      <xdr:row>17</xdr:row>
      <xdr:rowOff>38100</xdr:rowOff>
    </xdr:to>
    <xdr:sp>
      <xdr:nvSpPr>
        <xdr:cNvPr id="1" name="テキスト ボックス 1"/>
        <xdr:cNvSpPr txBox="1">
          <a:spLocks noChangeArrowheads="1"/>
        </xdr:cNvSpPr>
      </xdr:nvSpPr>
      <xdr:spPr>
        <a:xfrm>
          <a:off x="3676650" y="2286000"/>
          <a:ext cx="2333625" cy="704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（昨年度）注意！</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100</a:t>
          </a:r>
          <a:r>
            <a:rPr lang="en-US" cap="none" sz="1100" b="0" i="0" u="none" baseline="0">
              <a:solidFill>
                <a:srgbClr val="FF0000"/>
              </a:solidFill>
              <a:latin typeface="ＭＳ Ｐゴシック"/>
              <a:ea typeface="ＭＳ Ｐゴシック"/>
              <a:cs typeface="ＭＳ Ｐゴシック"/>
            </a:rPr>
            <a:t>にするために「</a:t>
          </a:r>
          <a:r>
            <a:rPr lang="en-US" cap="none" sz="1100" b="0" i="0" u="none" baseline="0">
              <a:solidFill>
                <a:srgbClr val="FF0000"/>
              </a:solidFill>
              <a:latin typeface="Calibri"/>
              <a:ea typeface="Calibri"/>
              <a:cs typeface="Calibri"/>
            </a:rPr>
            <a:t>E11</a:t>
          </a:r>
          <a:r>
            <a:rPr lang="en-US" cap="none" sz="1100" b="0" i="0" u="none" baseline="0">
              <a:solidFill>
                <a:srgbClr val="FF0000"/>
              </a:solidFill>
              <a:latin typeface="ＭＳ Ｐゴシック"/>
              <a:ea typeface="ＭＳ Ｐゴシック"/>
              <a:cs typeface="ＭＳ Ｐゴシック"/>
            </a:rPr>
            <a:t>セル」の式に</a:t>
          </a:r>
          <a:r>
            <a:rPr lang="en-US" cap="none" sz="1100" b="0" i="0" u="none" baseline="0">
              <a:solidFill>
                <a:srgbClr val="FF0000"/>
              </a:solidFill>
              <a:latin typeface="Calibri"/>
              <a:ea typeface="Calibri"/>
              <a:cs typeface="Calibri"/>
            </a:rPr>
            <a:t>0.1</a:t>
          </a:r>
          <a:r>
            <a:rPr lang="en-US" cap="none" sz="1100" b="0" i="0" u="none" baseline="0">
              <a:solidFill>
                <a:srgbClr val="FF0000"/>
              </a:solidFill>
              <a:latin typeface="ＭＳ Ｐゴシック"/>
              <a:ea typeface="ＭＳ Ｐゴシック"/>
              <a:cs typeface="ＭＳ Ｐゴシック"/>
            </a:rPr>
            <a:t>足している　　</a:t>
          </a:r>
          <a:r>
            <a:rPr lang="en-US" cap="none" sz="1100" b="0" i="0" u="none" baseline="0">
              <a:solidFill>
                <a:srgbClr val="FF0000"/>
              </a:solidFill>
              <a:latin typeface="Calibri"/>
              <a:ea typeface="Calibri"/>
              <a:cs typeface="Calibri"/>
            </a:rPr>
            <a:t>※31.8</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Calibri"/>
              <a:ea typeface="Calibri"/>
              <a:cs typeface="Calibri"/>
            </a:rPr>
            <a:t>31.9</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pn-fsv-01\share\10&#25285;&#24403;&#26989;&#21209;\02_&#22320;&#26041;&#25945;&#32946;&#36027;&#35519;&#26619;\R4&#24180;&#24230;\&#9733;HP&#65288;&#26152;&#24180;&#24230;&#35519;&#26619;&#20998;&#65289;\03_&#30906;&#23450;&#20516;\00_&#26356;&#26032;&#12487;&#12540;&#12479;&#20316;&#25104;&#65288;&#36895;&#22577;&#65289;\&#25945;&#32946;&#36027;&#26412;&#25991;&#20803;&#65288;&#12464;&#12521;&#12501;&#29992;&#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票"/>
      <sheetName val="2ページ"/>
      <sheetName val="３ページ"/>
      <sheetName val="４ページ"/>
      <sheetName val="５ページ"/>
      <sheetName val="６ページ"/>
      <sheetName val="7ページ"/>
      <sheetName val="Sheet1"/>
    </sheetNames>
    <sheetDataSet>
      <sheetData sheetId="2">
        <row r="7">
          <cell r="AH7">
            <v>1069606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3.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6"/>
  <sheetViews>
    <sheetView tabSelected="1" zoomScalePageLayoutView="0" workbookViewId="0" topLeftCell="A1">
      <selection activeCell="C4" sqref="C4"/>
    </sheetView>
  </sheetViews>
  <sheetFormatPr defaultColWidth="9.00390625" defaultRowHeight="13.5"/>
  <cols>
    <col min="1" max="2" width="3.75390625" style="2" customWidth="1"/>
    <col min="3" max="3" width="21.75390625" style="2" customWidth="1"/>
    <col min="4" max="4" width="64.25390625" style="2" customWidth="1"/>
    <col min="5" max="16384" width="9.00390625" style="2" customWidth="1"/>
  </cols>
  <sheetData>
    <row r="1" spans="1:4" s="1" customFormat="1" ht="21" customHeight="1" thickBot="1">
      <c r="A1" s="919" t="s">
        <v>0</v>
      </c>
      <c r="B1" s="919"/>
      <c r="C1" s="919"/>
      <c r="D1" s="919"/>
    </row>
    <row r="2" spans="1:4" ht="21" customHeight="1" thickBot="1">
      <c r="A2" s="920" t="s">
        <v>1</v>
      </c>
      <c r="B2" s="921"/>
      <c r="C2" s="921"/>
      <c r="D2" s="107" t="s">
        <v>2</v>
      </c>
    </row>
    <row r="3" spans="1:4" ht="46.5" customHeight="1" thickTop="1">
      <c r="A3" s="922" t="s">
        <v>3</v>
      </c>
      <c r="B3" s="925" t="s">
        <v>4</v>
      </c>
      <c r="C3" s="3" t="s">
        <v>5</v>
      </c>
      <c r="D3" s="108" t="s">
        <v>6</v>
      </c>
    </row>
    <row r="4" spans="1:4" ht="46.5" customHeight="1">
      <c r="A4" s="923"/>
      <c r="B4" s="914"/>
      <c r="C4" s="4" t="s">
        <v>252</v>
      </c>
      <c r="D4" s="109" t="s">
        <v>253</v>
      </c>
    </row>
    <row r="5" spans="1:4" ht="46.5" customHeight="1">
      <c r="A5" s="923"/>
      <c r="B5" s="914"/>
      <c r="C5" s="4" t="s">
        <v>7</v>
      </c>
      <c r="D5" s="109" t="s">
        <v>8</v>
      </c>
    </row>
    <row r="6" spans="1:4" ht="46.5" customHeight="1">
      <c r="A6" s="923"/>
      <c r="B6" s="914"/>
      <c r="C6" s="4" t="s">
        <v>9</v>
      </c>
      <c r="D6" s="109" t="s">
        <v>10</v>
      </c>
    </row>
    <row r="7" spans="1:4" ht="46.5" customHeight="1">
      <c r="A7" s="923"/>
      <c r="B7" s="914"/>
      <c r="C7" s="180" t="s">
        <v>254</v>
      </c>
      <c r="D7" s="110" t="s">
        <v>11</v>
      </c>
    </row>
    <row r="8" spans="1:4" ht="46.5" customHeight="1" thickBot="1">
      <c r="A8" s="924"/>
      <c r="B8" s="174" t="s">
        <v>246</v>
      </c>
      <c r="C8" s="179" t="s">
        <v>251</v>
      </c>
      <c r="D8" s="111" t="s">
        <v>255</v>
      </c>
    </row>
    <row r="9" spans="1:4" ht="46.5" customHeight="1" thickTop="1">
      <c r="A9" s="926" t="s">
        <v>12</v>
      </c>
      <c r="B9" s="913" t="s">
        <v>13</v>
      </c>
      <c r="C9" s="5" t="s">
        <v>14</v>
      </c>
      <c r="D9" s="112" t="s">
        <v>15</v>
      </c>
    </row>
    <row r="10" spans="1:4" ht="46.5" customHeight="1">
      <c r="A10" s="927"/>
      <c r="B10" s="914"/>
      <c r="C10" s="4" t="s">
        <v>16</v>
      </c>
      <c r="D10" s="109" t="s">
        <v>17</v>
      </c>
    </row>
    <row r="11" spans="1:4" ht="46.5" customHeight="1">
      <c r="A11" s="927"/>
      <c r="B11" s="914"/>
      <c r="C11" s="4" t="s">
        <v>18</v>
      </c>
      <c r="D11" s="109" t="s">
        <v>19</v>
      </c>
    </row>
    <row r="12" spans="1:4" ht="46.5" customHeight="1">
      <c r="A12" s="927"/>
      <c r="B12" s="914"/>
      <c r="C12" s="4" t="s">
        <v>20</v>
      </c>
      <c r="D12" s="109" t="s">
        <v>21</v>
      </c>
    </row>
    <row r="13" spans="1:4" ht="46.5" customHeight="1">
      <c r="A13" s="927"/>
      <c r="B13" s="914"/>
      <c r="C13" s="6" t="s">
        <v>22</v>
      </c>
      <c r="D13" s="110" t="s">
        <v>250</v>
      </c>
    </row>
    <row r="14" spans="1:4" ht="46.5" customHeight="1">
      <c r="A14" s="927"/>
      <c r="B14" s="915" t="s">
        <v>23</v>
      </c>
      <c r="C14" s="916"/>
      <c r="D14" s="113" t="s">
        <v>24</v>
      </c>
    </row>
    <row r="15" spans="1:4" ht="46.5" customHeight="1">
      <c r="A15" s="927"/>
      <c r="B15" s="917" t="s">
        <v>25</v>
      </c>
      <c r="C15" s="918"/>
      <c r="D15" s="398" t="s">
        <v>26</v>
      </c>
    </row>
    <row r="16" spans="1:4" ht="58.5" customHeight="1" thickBot="1">
      <c r="A16" s="928"/>
      <c r="B16" s="929" t="s">
        <v>302</v>
      </c>
      <c r="C16" s="930"/>
      <c r="D16" s="114" t="s">
        <v>303</v>
      </c>
    </row>
  </sheetData>
  <sheetProtection/>
  <mergeCells count="9">
    <mergeCell ref="B9:B13"/>
    <mergeCell ref="B14:C14"/>
    <mergeCell ref="B15:C15"/>
    <mergeCell ref="A1:D1"/>
    <mergeCell ref="A2:C2"/>
    <mergeCell ref="A3:A8"/>
    <mergeCell ref="B3:B7"/>
    <mergeCell ref="A9:A16"/>
    <mergeCell ref="B16:C16"/>
  </mergeCells>
  <printOptions/>
  <pageMargins left="0.56" right="0.33"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M27"/>
  <sheetViews>
    <sheetView zoomScalePageLayoutView="0" workbookViewId="0" topLeftCell="A1">
      <selection activeCell="J32" sqref="J32"/>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3" width="12.75390625" style="7" bestFit="1" customWidth="1"/>
    <col min="14" max="16384" width="9.00390625" style="7" customWidth="1"/>
  </cols>
  <sheetData>
    <row r="1" spans="1:7" ht="21" customHeight="1">
      <c r="A1" s="1112" t="s">
        <v>124</v>
      </c>
      <c r="B1" s="1112"/>
      <c r="C1" s="1112"/>
      <c r="D1" s="1112"/>
      <c r="E1" s="1112"/>
      <c r="F1" s="1112"/>
      <c r="G1" s="1112"/>
    </row>
    <row r="2" spans="11:12" ht="21" customHeight="1" thickBot="1">
      <c r="K2" s="52" t="s">
        <v>125</v>
      </c>
      <c r="L2" s="908">
        <v>31950</v>
      </c>
    </row>
    <row r="3" spans="1:12" ht="16.5" customHeight="1">
      <c r="A3" s="1113" t="s">
        <v>106</v>
      </c>
      <c r="B3" s="1114"/>
      <c r="C3" s="1114"/>
      <c r="D3" s="1114"/>
      <c r="E3" s="1115"/>
      <c r="F3" s="1055" t="s">
        <v>28</v>
      </c>
      <c r="G3" s="1050" t="s">
        <v>93</v>
      </c>
      <c r="H3" s="1051"/>
      <c r="I3" s="1051"/>
      <c r="J3" s="1051"/>
      <c r="K3" s="1055" t="s">
        <v>107</v>
      </c>
      <c r="L3" s="1110" t="s">
        <v>264</v>
      </c>
    </row>
    <row r="4" spans="1:12" ht="33" customHeight="1" thickBot="1">
      <c r="A4" s="1116"/>
      <c r="B4" s="1117"/>
      <c r="C4" s="1117"/>
      <c r="D4" s="1117"/>
      <c r="E4" s="1118"/>
      <c r="F4" s="1109"/>
      <c r="G4" s="53" t="s">
        <v>108</v>
      </c>
      <c r="H4" s="46" t="s">
        <v>268</v>
      </c>
      <c r="I4" s="181" t="s">
        <v>263</v>
      </c>
      <c r="J4" s="182" t="s">
        <v>269</v>
      </c>
      <c r="K4" s="1109"/>
      <c r="L4" s="1111"/>
    </row>
    <row r="5" spans="1:13" ht="18.75" customHeight="1">
      <c r="A5" s="1103" t="s">
        <v>27</v>
      </c>
      <c r="B5" s="1106" t="s">
        <v>109</v>
      </c>
      <c r="C5" s="1107"/>
      <c r="D5" s="1107"/>
      <c r="E5" s="1108"/>
      <c r="F5" s="374">
        <f>G5+K5+L5</f>
        <v>37540518</v>
      </c>
      <c r="G5" s="374">
        <f>SUM(H5:J5)</f>
        <v>36141447</v>
      </c>
      <c r="H5" s="374">
        <f>H6+H14+H15</f>
        <v>6454256</v>
      </c>
      <c r="I5" s="374">
        <f>I6+I14+I15</f>
        <v>19802044</v>
      </c>
      <c r="J5" s="230">
        <f>J6+J14+J15</f>
        <v>9885147</v>
      </c>
      <c r="K5" s="230">
        <f>K6+K14+K15</f>
        <v>1395008</v>
      </c>
      <c r="L5" s="231">
        <f>L6+L14+L15</f>
        <v>4063</v>
      </c>
      <c r="M5" s="93"/>
    </row>
    <row r="6" spans="1:12" ht="18.75" customHeight="1">
      <c r="A6" s="1104"/>
      <c r="B6" s="960"/>
      <c r="C6" s="1089" t="s">
        <v>110</v>
      </c>
      <c r="D6" s="1094"/>
      <c r="E6" s="1090"/>
      <c r="F6" s="143">
        <f aca="true" t="shared" si="0" ref="F6:F15">G6+K6+L6</f>
        <v>32301258</v>
      </c>
      <c r="G6" s="143">
        <f aca="true" t="shared" si="1" ref="G6:G15">SUM(H6:J6)</f>
        <v>32295308</v>
      </c>
      <c r="H6" s="143">
        <f>H7+SUM(H10:H13)</f>
        <v>6049737</v>
      </c>
      <c r="I6" s="143">
        <f>I7+SUM(I10:I13)</f>
        <v>19802044</v>
      </c>
      <c r="J6" s="16">
        <f>J7+SUM(J10:J13)</f>
        <v>6443527</v>
      </c>
      <c r="K6" s="16">
        <f>K7+SUM(K10:K13)</f>
        <v>5800</v>
      </c>
      <c r="L6" s="18">
        <f>L7+SUM(L10:L13)</f>
        <v>150</v>
      </c>
    </row>
    <row r="7" spans="1:12" ht="18.75" customHeight="1">
      <c r="A7" s="1104"/>
      <c r="B7" s="961"/>
      <c r="C7" s="960"/>
      <c r="D7" s="1089" t="s">
        <v>111</v>
      </c>
      <c r="E7" s="1090"/>
      <c r="F7" s="143">
        <f t="shared" si="0"/>
        <v>27166597</v>
      </c>
      <c r="G7" s="143">
        <f t="shared" si="1"/>
        <v>27166597</v>
      </c>
      <c r="H7" s="909">
        <v>5940619</v>
      </c>
      <c r="I7" s="909">
        <v>19681726</v>
      </c>
      <c r="J7" s="43">
        <v>1544252</v>
      </c>
      <c r="K7" s="43">
        <v>0</v>
      </c>
      <c r="L7" s="122">
        <v>0</v>
      </c>
    </row>
    <row r="8" spans="1:12" ht="18.75" customHeight="1">
      <c r="A8" s="1104"/>
      <c r="B8" s="961"/>
      <c r="C8" s="961"/>
      <c r="D8" s="960"/>
      <c r="E8" s="50" t="s">
        <v>280</v>
      </c>
      <c r="F8" s="143">
        <f t="shared" si="0"/>
        <v>17166012</v>
      </c>
      <c r="G8" s="143">
        <f t="shared" si="1"/>
        <v>17166012</v>
      </c>
      <c r="H8" s="909">
        <v>5552595</v>
      </c>
      <c r="I8" s="909">
        <v>11515124</v>
      </c>
      <c r="J8" s="43">
        <v>98293</v>
      </c>
      <c r="K8" s="43">
        <v>0</v>
      </c>
      <c r="L8" s="122">
        <v>0</v>
      </c>
    </row>
    <row r="9" spans="1:12" ht="18.75" customHeight="1">
      <c r="A9" s="1104"/>
      <c r="B9" s="961"/>
      <c r="C9" s="961"/>
      <c r="D9" s="966"/>
      <c r="E9" s="11" t="s">
        <v>112</v>
      </c>
      <c r="F9" s="16">
        <f t="shared" si="0"/>
        <v>10000585</v>
      </c>
      <c r="G9" s="16">
        <f t="shared" si="1"/>
        <v>10000585</v>
      </c>
      <c r="H9" s="43">
        <f>H7-H8</f>
        <v>388024</v>
      </c>
      <c r="I9" s="43">
        <f>I7-I8</f>
        <v>8166602</v>
      </c>
      <c r="J9" s="43">
        <f>J7-J8</f>
        <v>1445959</v>
      </c>
      <c r="K9" s="43">
        <f>K7-K8</f>
        <v>0</v>
      </c>
      <c r="L9" s="122">
        <f>L7-L8</f>
        <v>0</v>
      </c>
    </row>
    <row r="10" spans="1:12" ht="18.75" customHeight="1">
      <c r="A10" s="1104"/>
      <c r="B10" s="961"/>
      <c r="C10" s="961"/>
      <c r="D10" s="1089" t="s">
        <v>113</v>
      </c>
      <c r="E10" s="1090"/>
      <c r="F10" s="16">
        <f>G10+K10+L10</f>
        <v>1122060</v>
      </c>
      <c r="G10" s="16">
        <f t="shared" si="1"/>
        <v>1121910</v>
      </c>
      <c r="H10" s="43">
        <v>68302</v>
      </c>
      <c r="I10" s="43">
        <v>91118</v>
      </c>
      <c r="J10" s="43">
        <v>962490</v>
      </c>
      <c r="K10" s="43">
        <v>0</v>
      </c>
      <c r="L10" s="122">
        <v>150</v>
      </c>
    </row>
    <row r="11" spans="1:12" ht="18.75" customHeight="1">
      <c r="A11" s="1104"/>
      <c r="B11" s="961"/>
      <c r="C11" s="961"/>
      <c r="D11" s="1089" t="s">
        <v>114</v>
      </c>
      <c r="E11" s="1090"/>
      <c r="F11" s="16">
        <f t="shared" si="0"/>
        <v>2025358</v>
      </c>
      <c r="G11" s="16">
        <f t="shared" si="1"/>
        <v>2025358</v>
      </c>
      <c r="H11" s="43">
        <v>2441</v>
      </c>
      <c r="I11" s="43">
        <v>9201</v>
      </c>
      <c r="J11" s="43">
        <v>2013716</v>
      </c>
      <c r="K11" s="43">
        <v>0</v>
      </c>
      <c r="L11" s="122">
        <v>0</v>
      </c>
    </row>
    <row r="12" spans="1:12" ht="18.75" customHeight="1">
      <c r="A12" s="1104"/>
      <c r="B12" s="961"/>
      <c r="C12" s="961"/>
      <c r="D12" s="1089" t="s">
        <v>115</v>
      </c>
      <c r="E12" s="1090"/>
      <c r="F12" s="16">
        <f t="shared" si="0"/>
        <v>1878858</v>
      </c>
      <c r="G12" s="16">
        <f t="shared" si="1"/>
        <v>1873058</v>
      </c>
      <c r="H12" s="43">
        <v>38375</v>
      </c>
      <c r="I12" s="43">
        <v>19999</v>
      </c>
      <c r="J12" s="43">
        <v>1814684</v>
      </c>
      <c r="K12" s="43">
        <v>5800</v>
      </c>
      <c r="L12" s="122">
        <v>0</v>
      </c>
    </row>
    <row r="13" spans="1:12" ht="18.75" customHeight="1">
      <c r="A13" s="1104"/>
      <c r="B13" s="961"/>
      <c r="C13" s="966"/>
      <c r="D13" s="1089" t="s">
        <v>116</v>
      </c>
      <c r="E13" s="1090"/>
      <c r="F13" s="16">
        <f t="shared" si="0"/>
        <v>108385</v>
      </c>
      <c r="G13" s="16">
        <f t="shared" si="1"/>
        <v>108385</v>
      </c>
      <c r="H13" s="43">
        <v>0</v>
      </c>
      <c r="I13" s="43">
        <v>0</v>
      </c>
      <c r="J13" s="43">
        <v>108385</v>
      </c>
      <c r="K13" s="43">
        <v>0</v>
      </c>
      <c r="L13" s="122">
        <v>0</v>
      </c>
    </row>
    <row r="14" spans="1:12" ht="18.75" customHeight="1">
      <c r="A14" s="1104"/>
      <c r="B14" s="961"/>
      <c r="C14" s="1089" t="s">
        <v>117</v>
      </c>
      <c r="D14" s="1094"/>
      <c r="E14" s="1090"/>
      <c r="F14" s="16">
        <f t="shared" si="0"/>
        <v>2939414</v>
      </c>
      <c r="G14" s="16">
        <f t="shared" si="1"/>
        <v>1546293</v>
      </c>
      <c r="H14" s="43">
        <v>404519</v>
      </c>
      <c r="I14" s="43">
        <v>0</v>
      </c>
      <c r="J14" s="43">
        <v>1141774</v>
      </c>
      <c r="K14" s="43">
        <v>1389208</v>
      </c>
      <c r="L14" s="122">
        <v>3913</v>
      </c>
    </row>
    <row r="15" spans="1:12" ht="18.75" customHeight="1" thickBot="1">
      <c r="A15" s="1105"/>
      <c r="B15" s="970"/>
      <c r="C15" s="1095" t="s">
        <v>118</v>
      </c>
      <c r="D15" s="1096"/>
      <c r="E15" s="1097"/>
      <c r="F15" s="35">
        <f t="shared" si="0"/>
        <v>2299846</v>
      </c>
      <c r="G15" s="35">
        <f t="shared" si="1"/>
        <v>2299846</v>
      </c>
      <c r="H15" s="123">
        <v>0</v>
      </c>
      <c r="I15" s="123">
        <v>0</v>
      </c>
      <c r="J15" s="123">
        <v>2299846</v>
      </c>
      <c r="K15" s="123">
        <v>0</v>
      </c>
      <c r="L15" s="907">
        <v>0</v>
      </c>
    </row>
    <row r="16" spans="1:12" ht="18.75" customHeight="1" thickTop="1">
      <c r="A16" s="1098" t="s">
        <v>126</v>
      </c>
      <c r="B16" s="1100" t="s">
        <v>109</v>
      </c>
      <c r="C16" s="1101"/>
      <c r="D16" s="1101"/>
      <c r="E16" s="1102"/>
      <c r="F16" s="228">
        <f>ROUND(F5*1000/$L$2,0)</f>
        <v>1174977</v>
      </c>
      <c r="G16" s="228">
        <f aca="true" t="shared" si="2" ref="G16:L16">ROUND(G5*1000/$L$2,0)</f>
        <v>1131188</v>
      </c>
      <c r="H16" s="228">
        <f t="shared" si="2"/>
        <v>202011</v>
      </c>
      <c r="I16" s="228">
        <f t="shared" si="2"/>
        <v>619782</v>
      </c>
      <c r="J16" s="228">
        <f t="shared" si="2"/>
        <v>309394</v>
      </c>
      <c r="K16" s="228">
        <f t="shared" si="2"/>
        <v>43662</v>
      </c>
      <c r="L16" s="229">
        <f t="shared" si="2"/>
        <v>127</v>
      </c>
    </row>
    <row r="17" spans="1:12" ht="18.75" customHeight="1">
      <c r="A17" s="1098"/>
      <c r="B17" s="960"/>
      <c r="C17" s="1089" t="s">
        <v>110</v>
      </c>
      <c r="D17" s="1094"/>
      <c r="E17" s="1090"/>
      <c r="F17" s="49">
        <f>ROUND(F6*1000/$L$2,0)</f>
        <v>1010994</v>
      </c>
      <c r="G17" s="49">
        <f aca="true" t="shared" si="3" ref="G17:L17">ROUND(G6*1000/$L$2,0)</f>
        <v>1010808</v>
      </c>
      <c r="H17" s="49">
        <f t="shared" si="3"/>
        <v>189350</v>
      </c>
      <c r="I17" s="49">
        <f t="shared" si="3"/>
        <v>619782</v>
      </c>
      <c r="J17" s="49">
        <f t="shared" si="3"/>
        <v>201675</v>
      </c>
      <c r="K17" s="49">
        <f t="shared" si="3"/>
        <v>182</v>
      </c>
      <c r="L17" s="57">
        <f t="shared" si="3"/>
        <v>5</v>
      </c>
    </row>
    <row r="18" spans="1:12" ht="18.75" customHeight="1">
      <c r="A18" s="1098"/>
      <c r="B18" s="961"/>
      <c r="C18" s="960"/>
      <c r="D18" s="1089" t="s">
        <v>111</v>
      </c>
      <c r="E18" s="1090"/>
      <c r="F18" s="49">
        <f aca="true" t="shared" si="4" ref="F18:L18">ROUND(F7*1000/$L$2,0)</f>
        <v>850285</v>
      </c>
      <c r="G18" s="49">
        <f t="shared" si="4"/>
        <v>850285</v>
      </c>
      <c r="H18" s="49">
        <f t="shared" si="4"/>
        <v>185935</v>
      </c>
      <c r="I18" s="49">
        <f t="shared" si="4"/>
        <v>616016</v>
      </c>
      <c r="J18" s="49">
        <f t="shared" si="4"/>
        <v>48333</v>
      </c>
      <c r="K18" s="49">
        <f t="shared" si="4"/>
        <v>0</v>
      </c>
      <c r="L18" s="57">
        <f t="shared" si="4"/>
        <v>0</v>
      </c>
    </row>
    <row r="19" spans="1:12" ht="18.75" customHeight="1">
      <c r="A19" s="1098"/>
      <c r="B19" s="961"/>
      <c r="C19" s="961"/>
      <c r="D19" s="960"/>
      <c r="E19" s="50" t="s">
        <v>281</v>
      </c>
      <c r="F19" s="49">
        <f aca="true" t="shared" si="5" ref="F19:L19">ROUND(F8*1000/$L$2,0)</f>
        <v>537277</v>
      </c>
      <c r="G19" s="49">
        <f t="shared" si="5"/>
        <v>537277</v>
      </c>
      <c r="H19" s="49">
        <f t="shared" si="5"/>
        <v>173790</v>
      </c>
      <c r="I19" s="49">
        <f t="shared" si="5"/>
        <v>360411</v>
      </c>
      <c r="J19" s="49">
        <f t="shared" si="5"/>
        <v>3076</v>
      </c>
      <c r="K19" s="49">
        <f t="shared" si="5"/>
        <v>0</v>
      </c>
      <c r="L19" s="57">
        <f t="shared" si="5"/>
        <v>0</v>
      </c>
    </row>
    <row r="20" spans="1:12" ht="18.75" customHeight="1">
      <c r="A20" s="1098"/>
      <c r="B20" s="961"/>
      <c r="C20" s="961"/>
      <c r="D20" s="966"/>
      <c r="E20" s="11" t="s">
        <v>112</v>
      </c>
      <c r="F20" s="49">
        <f aca="true" t="shared" si="6" ref="F20:L20">ROUND(F9*1000/$L$2,0)</f>
        <v>313007</v>
      </c>
      <c r="G20" s="49">
        <f t="shared" si="6"/>
        <v>313007</v>
      </c>
      <c r="H20" s="49">
        <f t="shared" si="6"/>
        <v>12145</v>
      </c>
      <c r="I20" s="49">
        <f t="shared" si="6"/>
        <v>255606</v>
      </c>
      <c r="J20" s="49">
        <f t="shared" si="6"/>
        <v>45257</v>
      </c>
      <c r="K20" s="49">
        <f t="shared" si="6"/>
        <v>0</v>
      </c>
      <c r="L20" s="57">
        <f t="shared" si="6"/>
        <v>0</v>
      </c>
    </row>
    <row r="21" spans="1:12" ht="18.75" customHeight="1">
      <c r="A21" s="1098"/>
      <c r="B21" s="961"/>
      <c r="C21" s="961"/>
      <c r="D21" s="1089" t="s">
        <v>113</v>
      </c>
      <c r="E21" s="1090"/>
      <c r="F21" s="49">
        <f aca="true" t="shared" si="7" ref="F21:L21">ROUND(F10*1000/$L$2,0)</f>
        <v>35119</v>
      </c>
      <c r="G21" s="49">
        <f t="shared" si="7"/>
        <v>35115</v>
      </c>
      <c r="H21" s="49">
        <f t="shared" si="7"/>
        <v>2138</v>
      </c>
      <c r="I21" s="49">
        <f t="shared" si="7"/>
        <v>2852</v>
      </c>
      <c r="J21" s="49">
        <f t="shared" si="7"/>
        <v>30125</v>
      </c>
      <c r="K21" s="49">
        <f t="shared" si="7"/>
        <v>0</v>
      </c>
      <c r="L21" s="57">
        <f t="shared" si="7"/>
        <v>5</v>
      </c>
    </row>
    <row r="22" spans="1:12" ht="18.75" customHeight="1">
      <c r="A22" s="1098"/>
      <c r="B22" s="961"/>
      <c r="C22" s="961"/>
      <c r="D22" s="1089" t="s">
        <v>114</v>
      </c>
      <c r="E22" s="1090"/>
      <c r="F22" s="49">
        <f aca="true" t="shared" si="8" ref="F22:L22">ROUND(F11*1000/$L$2,0)</f>
        <v>63391</v>
      </c>
      <c r="G22" s="49">
        <f t="shared" si="8"/>
        <v>63391</v>
      </c>
      <c r="H22" s="49">
        <f t="shared" si="8"/>
        <v>76</v>
      </c>
      <c r="I22" s="49">
        <f t="shared" si="8"/>
        <v>288</v>
      </c>
      <c r="J22" s="49">
        <f t="shared" si="8"/>
        <v>63027</v>
      </c>
      <c r="K22" s="49">
        <f t="shared" si="8"/>
        <v>0</v>
      </c>
      <c r="L22" s="57">
        <f t="shared" si="8"/>
        <v>0</v>
      </c>
    </row>
    <row r="23" spans="1:12" ht="18.75" customHeight="1">
      <c r="A23" s="1098"/>
      <c r="B23" s="961"/>
      <c r="C23" s="961"/>
      <c r="D23" s="1089" t="s">
        <v>115</v>
      </c>
      <c r="E23" s="1090"/>
      <c r="F23" s="49">
        <f aca="true" t="shared" si="9" ref="F23:L23">ROUND(F12*1000/$L$2,0)</f>
        <v>58806</v>
      </c>
      <c r="G23" s="49">
        <f t="shared" si="9"/>
        <v>58625</v>
      </c>
      <c r="H23" s="49">
        <f t="shared" si="9"/>
        <v>1201</v>
      </c>
      <c r="I23" s="49">
        <f t="shared" si="9"/>
        <v>626</v>
      </c>
      <c r="J23" s="49">
        <f t="shared" si="9"/>
        <v>56798</v>
      </c>
      <c r="K23" s="49">
        <f t="shared" si="9"/>
        <v>182</v>
      </c>
      <c r="L23" s="57">
        <f t="shared" si="9"/>
        <v>0</v>
      </c>
    </row>
    <row r="24" spans="1:12" ht="18.75" customHeight="1">
      <c r="A24" s="1098"/>
      <c r="B24" s="961"/>
      <c r="C24" s="966"/>
      <c r="D24" s="1089" t="s">
        <v>116</v>
      </c>
      <c r="E24" s="1090"/>
      <c r="F24" s="49">
        <f aca="true" t="shared" si="10" ref="F24:L24">ROUND(F13*1000/$L$2,0)</f>
        <v>3392</v>
      </c>
      <c r="G24" s="49">
        <f t="shared" si="10"/>
        <v>3392</v>
      </c>
      <c r="H24" s="49">
        <f t="shared" si="10"/>
        <v>0</v>
      </c>
      <c r="I24" s="49">
        <f t="shared" si="10"/>
        <v>0</v>
      </c>
      <c r="J24" s="49">
        <f t="shared" si="10"/>
        <v>3392</v>
      </c>
      <c r="K24" s="49">
        <f t="shared" si="10"/>
        <v>0</v>
      </c>
      <c r="L24" s="57">
        <f t="shared" si="10"/>
        <v>0</v>
      </c>
    </row>
    <row r="25" spans="1:12" ht="18.75" customHeight="1">
      <c r="A25" s="1098"/>
      <c r="B25" s="961"/>
      <c r="C25" s="1089" t="s">
        <v>117</v>
      </c>
      <c r="D25" s="1094"/>
      <c r="E25" s="1090"/>
      <c r="F25" s="49">
        <f aca="true" t="shared" si="11" ref="F25:L25">ROUND(F14*1000/$L$2,0)</f>
        <v>92000</v>
      </c>
      <c r="G25" s="49">
        <f t="shared" si="11"/>
        <v>48397</v>
      </c>
      <c r="H25" s="49">
        <f t="shared" si="11"/>
        <v>12661</v>
      </c>
      <c r="I25" s="49">
        <f t="shared" si="11"/>
        <v>0</v>
      </c>
      <c r="J25" s="49">
        <f t="shared" si="11"/>
        <v>35736</v>
      </c>
      <c r="K25" s="49">
        <f t="shared" si="11"/>
        <v>43481</v>
      </c>
      <c r="L25" s="57">
        <f t="shared" si="11"/>
        <v>122</v>
      </c>
    </row>
    <row r="26" spans="1:12" ht="18.75" customHeight="1" thickBot="1">
      <c r="A26" s="1099"/>
      <c r="B26" s="962"/>
      <c r="C26" s="1091" t="s">
        <v>118</v>
      </c>
      <c r="D26" s="1092"/>
      <c r="E26" s="1093"/>
      <c r="F26" s="41">
        <f aca="true" t="shared" si="12" ref="F26:L26">ROUND(F15*1000/$L$2,0)</f>
        <v>71983</v>
      </c>
      <c r="G26" s="41">
        <f t="shared" si="12"/>
        <v>71983</v>
      </c>
      <c r="H26" s="41">
        <f t="shared" si="12"/>
        <v>0</v>
      </c>
      <c r="I26" s="41">
        <f t="shared" si="12"/>
        <v>0</v>
      </c>
      <c r="J26" s="41">
        <f t="shared" si="12"/>
        <v>71983</v>
      </c>
      <c r="K26" s="41">
        <f t="shared" si="12"/>
        <v>0</v>
      </c>
      <c r="L26" s="42">
        <f t="shared" si="12"/>
        <v>0</v>
      </c>
    </row>
    <row r="27" ht="19.5" customHeight="1">
      <c r="A27" s="7" t="s">
        <v>120</v>
      </c>
    </row>
  </sheetData>
  <sheetProtection/>
  <mergeCells count="32">
    <mergeCell ref="K3:K4"/>
    <mergeCell ref="L3:L4"/>
    <mergeCell ref="A1:G1"/>
    <mergeCell ref="A3:E4"/>
    <mergeCell ref="F3:F4"/>
    <mergeCell ref="G3:J3"/>
    <mergeCell ref="A5:A15"/>
    <mergeCell ref="B5:E5"/>
    <mergeCell ref="B6:B15"/>
    <mergeCell ref="C6:E6"/>
    <mergeCell ref="C7:C13"/>
    <mergeCell ref="D7:E7"/>
    <mergeCell ref="D8:D9"/>
    <mergeCell ref="D10:E10"/>
    <mergeCell ref="D11:E11"/>
    <mergeCell ref="D12:E12"/>
    <mergeCell ref="D13:E13"/>
    <mergeCell ref="C14:E14"/>
    <mergeCell ref="C15:E15"/>
    <mergeCell ref="A16:A26"/>
    <mergeCell ref="B16:E16"/>
    <mergeCell ref="B17:B26"/>
    <mergeCell ref="C17:E17"/>
    <mergeCell ref="C18:C24"/>
    <mergeCell ref="D18:E18"/>
    <mergeCell ref="D19:D20"/>
    <mergeCell ref="D21:E21"/>
    <mergeCell ref="C26:E26"/>
    <mergeCell ref="D22:E22"/>
    <mergeCell ref="D23:E23"/>
    <mergeCell ref="D24:E24"/>
    <mergeCell ref="C25:E25"/>
  </mergeCells>
  <printOptions/>
  <pageMargins left="0.75" right="0.75" top="1" bottom="1" header="0.512" footer="0.512"/>
  <pageSetup fitToHeight="1" fitToWidth="1" horizontalDpi="300" verticalDpi="300" orientation="landscape" paperSize="9" scale="95" r:id="rId1"/>
</worksheet>
</file>

<file path=xl/worksheets/sheet11.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
      <selection activeCell="L2" sqref="L2"/>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6384" width="9.00390625" style="7" customWidth="1"/>
  </cols>
  <sheetData>
    <row r="1" spans="1:8" ht="21" customHeight="1">
      <c r="A1" s="1112" t="s">
        <v>244</v>
      </c>
      <c r="B1" s="1112"/>
      <c r="C1" s="1112"/>
      <c r="D1" s="1112"/>
      <c r="E1" s="1112"/>
      <c r="F1" s="1112"/>
      <c r="G1" s="1112"/>
      <c r="H1" s="1112"/>
    </row>
    <row r="2" spans="11:12" ht="21" customHeight="1" thickBot="1">
      <c r="K2" s="52" t="s">
        <v>125</v>
      </c>
      <c r="L2" s="908">
        <v>1501</v>
      </c>
    </row>
    <row r="3" spans="1:12" ht="16.5" customHeight="1">
      <c r="A3" s="1113" t="s">
        <v>106</v>
      </c>
      <c r="B3" s="1114"/>
      <c r="C3" s="1114"/>
      <c r="D3" s="1114"/>
      <c r="E3" s="1115"/>
      <c r="F3" s="1055" t="s">
        <v>28</v>
      </c>
      <c r="G3" s="1050" t="s">
        <v>93</v>
      </c>
      <c r="H3" s="1051"/>
      <c r="I3" s="1051"/>
      <c r="J3" s="1051"/>
      <c r="K3" s="1055" t="s">
        <v>107</v>
      </c>
      <c r="L3" s="1110" t="s">
        <v>264</v>
      </c>
    </row>
    <row r="4" spans="1:12" ht="33" customHeight="1" thickBot="1">
      <c r="A4" s="1116"/>
      <c r="B4" s="1117"/>
      <c r="C4" s="1117"/>
      <c r="D4" s="1117"/>
      <c r="E4" s="1118"/>
      <c r="F4" s="1109"/>
      <c r="G4" s="53" t="s">
        <v>108</v>
      </c>
      <c r="H4" s="46" t="s">
        <v>268</v>
      </c>
      <c r="I4" s="181" t="s">
        <v>263</v>
      </c>
      <c r="J4" s="182" t="s">
        <v>269</v>
      </c>
      <c r="K4" s="1109"/>
      <c r="L4" s="1111"/>
    </row>
    <row r="5" spans="1:12" ht="18.75" customHeight="1">
      <c r="A5" s="1103" t="s">
        <v>27</v>
      </c>
      <c r="B5" s="1106" t="s">
        <v>109</v>
      </c>
      <c r="C5" s="1107"/>
      <c r="D5" s="1107"/>
      <c r="E5" s="1108"/>
      <c r="F5" s="230">
        <f>G5+K5+L5</f>
        <v>10008782</v>
      </c>
      <c r="G5" s="230">
        <f>SUM(H5:J5)</f>
        <v>9959782</v>
      </c>
      <c r="H5" s="230">
        <f>H6+H14+H15</f>
        <v>1435388</v>
      </c>
      <c r="I5" s="230">
        <f>I6+I14+I15</f>
        <v>8524394</v>
      </c>
      <c r="J5" s="230">
        <f>J6+J14+J15</f>
        <v>0</v>
      </c>
      <c r="K5" s="230">
        <f>K6+K14+K15</f>
        <v>49000</v>
      </c>
      <c r="L5" s="231">
        <f>L6+L14+L15</f>
        <v>0</v>
      </c>
    </row>
    <row r="6" spans="1:12" ht="18.75" customHeight="1">
      <c r="A6" s="1104"/>
      <c r="B6" s="960"/>
      <c r="C6" s="1089" t="s">
        <v>110</v>
      </c>
      <c r="D6" s="1094"/>
      <c r="E6" s="1090"/>
      <c r="F6" s="16">
        <f aca="true" t="shared" si="0" ref="F6:F15">G6+K6+L6</f>
        <v>9665628</v>
      </c>
      <c r="G6" s="16">
        <f aca="true" t="shared" si="1" ref="G6:G15">SUM(H6:J6)</f>
        <v>9665628</v>
      </c>
      <c r="H6" s="16">
        <f>H7+SUM(H10:H13)</f>
        <v>1406323</v>
      </c>
      <c r="I6" s="16">
        <f>I7+SUM(I10:I13)</f>
        <v>8259305</v>
      </c>
      <c r="J6" s="16">
        <f>J7+SUM(J10:J13)</f>
        <v>0</v>
      </c>
      <c r="K6" s="16">
        <f>K7+SUM(K10:K13)</f>
        <v>0</v>
      </c>
      <c r="L6" s="18">
        <f>L7+SUM(L10:L13)</f>
        <v>0</v>
      </c>
    </row>
    <row r="7" spans="1:12" ht="18.75" customHeight="1">
      <c r="A7" s="1104"/>
      <c r="B7" s="961"/>
      <c r="C7" s="960"/>
      <c r="D7" s="1089" t="s">
        <v>111</v>
      </c>
      <c r="E7" s="1090"/>
      <c r="F7" s="16">
        <f t="shared" si="0"/>
        <v>8968010</v>
      </c>
      <c r="G7" s="43">
        <f t="shared" si="1"/>
        <v>8968010</v>
      </c>
      <c r="H7" s="43">
        <v>1252707</v>
      </c>
      <c r="I7" s="43">
        <v>7715303</v>
      </c>
      <c r="J7" s="43">
        <f>J8+J9</f>
        <v>0</v>
      </c>
      <c r="K7" s="43">
        <f>K8+K9</f>
        <v>0</v>
      </c>
      <c r="L7" s="122">
        <f>L8+L9</f>
        <v>0</v>
      </c>
    </row>
    <row r="8" spans="1:12" ht="18.75" customHeight="1">
      <c r="A8" s="1104"/>
      <c r="B8" s="961"/>
      <c r="C8" s="961"/>
      <c r="D8" s="960"/>
      <c r="E8" s="50" t="s">
        <v>280</v>
      </c>
      <c r="F8" s="16">
        <f t="shared" si="0"/>
        <v>5261214</v>
      </c>
      <c r="G8" s="43">
        <f t="shared" si="1"/>
        <v>5261214</v>
      </c>
      <c r="H8" s="43">
        <v>1155551</v>
      </c>
      <c r="I8" s="43">
        <v>4105663</v>
      </c>
      <c r="J8" s="43">
        <v>0</v>
      </c>
      <c r="K8" s="43">
        <v>0</v>
      </c>
      <c r="L8" s="122">
        <v>0</v>
      </c>
    </row>
    <row r="9" spans="1:12" ht="18.75" customHeight="1">
      <c r="A9" s="1104"/>
      <c r="B9" s="961"/>
      <c r="C9" s="961"/>
      <c r="D9" s="966"/>
      <c r="E9" s="11" t="s">
        <v>112</v>
      </c>
      <c r="F9" s="16">
        <f t="shared" si="0"/>
        <v>3706796</v>
      </c>
      <c r="G9" s="43">
        <f t="shared" si="1"/>
        <v>3706796</v>
      </c>
      <c r="H9" s="43">
        <f>H7-H8</f>
        <v>97156</v>
      </c>
      <c r="I9" s="43">
        <f>I7-I8</f>
        <v>3609640</v>
      </c>
      <c r="J9" s="43">
        <v>0</v>
      </c>
      <c r="K9" s="43">
        <v>0</v>
      </c>
      <c r="L9" s="122">
        <v>0</v>
      </c>
    </row>
    <row r="10" spans="1:12" ht="18.75" customHeight="1">
      <c r="A10" s="1104"/>
      <c r="B10" s="961"/>
      <c r="C10" s="961"/>
      <c r="D10" s="1089" t="s">
        <v>113</v>
      </c>
      <c r="E10" s="1090"/>
      <c r="F10" s="16">
        <f>G10+K10+L10</f>
        <v>85861</v>
      </c>
      <c r="G10" s="43">
        <f t="shared" si="1"/>
        <v>85861</v>
      </c>
      <c r="H10" s="43">
        <v>8290</v>
      </c>
      <c r="I10" s="43">
        <v>77571</v>
      </c>
      <c r="J10" s="43">
        <v>0</v>
      </c>
      <c r="K10" s="43">
        <v>0</v>
      </c>
      <c r="L10" s="122">
        <v>0</v>
      </c>
    </row>
    <row r="11" spans="1:12" ht="18.75" customHeight="1">
      <c r="A11" s="1104"/>
      <c r="B11" s="961"/>
      <c r="C11" s="961"/>
      <c r="D11" s="1089" t="s">
        <v>114</v>
      </c>
      <c r="E11" s="1090"/>
      <c r="F11" s="16">
        <f t="shared" si="0"/>
        <v>273000</v>
      </c>
      <c r="G11" s="43">
        <f t="shared" si="1"/>
        <v>273000</v>
      </c>
      <c r="H11" s="43">
        <v>14669</v>
      </c>
      <c r="I11" s="43">
        <v>258331</v>
      </c>
      <c r="J11" s="43">
        <v>0</v>
      </c>
      <c r="K11" s="43">
        <v>0</v>
      </c>
      <c r="L11" s="122">
        <v>0</v>
      </c>
    </row>
    <row r="12" spans="1:12" ht="18.75" customHeight="1">
      <c r="A12" s="1104"/>
      <c r="B12" s="961"/>
      <c r="C12" s="961"/>
      <c r="D12" s="1089" t="s">
        <v>115</v>
      </c>
      <c r="E12" s="1090"/>
      <c r="F12" s="16">
        <f t="shared" si="0"/>
        <v>334521</v>
      </c>
      <c r="G12" s="43">
        <f t="shared" si="1"/>
        <v>334521</v>
      </c>
      <c r="H12" s="43">
        <v>130657</v>
      </c>
      <c r="I12" s="43">
        <v>203864</v>
      </c>
      <c r="J12" s="43">
        <v>0</v>
      </c>
      <c r="K12" s="43">
        <v>0</v>
      </c>
      <c r="L12" s="122">
        <v>0</v>
      </c>
    </row>
    <row r="13" spans="1:12" ht="18.75" customHeight="1">
      <c r="A13" s="1104"/>
      <c r="B13" s="961"/>
      <c r="C13" s="966"/>
      <c r="D13" s="1089" t="s">
        <v>116</v>
      </c>
      <c r="E13" s="1090"/>
      <c r="F13" s="16">
        <f t="shared" si="0"/>
        <v>4236</v>
      </c>
      <c r="G13" s="43">
        <f t="shared" si="1"/>
        <v>4236</v>
      </c>
      <c r="H13" s="43">
        <v>0</v>
      </c>
      <c r="I13" s="43">
        <v>4236</v>
      </c>
      <c r="J13" s="43">
        <v>0</v>
      </c>
      <c r="K13" s="43">
        <v>0</v>
      </c>
      <c r="L13" s="122">
        <v>0</v>
      </c>
    </row>
    <row r="14" spans="1:12" ht="18.75" customHeight="1">
      <c r="A14" s="1104"/>
      <c r="B14" s="961"/>
      <c r="C14" s="1089" t="s">
        <v>117</v>
      </c>
      <c r="D14" s="1094"/>
      <c r="E14" s="1090"/>
      <c r="F14" s="16">
        <f t="shared" si="0"/>
        <v>124044</v>
      </c>
      <c r="G14" s="43">
        <f t="shared" si="1"/>
        <v>75044</v>
      </c>
      <c r="H14" s="43">
        <v>29065</v>
      </c>
      <c r="I14" s="43">
        <v>45979</v>
      </c>
      <c r="J14" s="43">
        <v>0</v>
      </c>
      <c r="K14" s="43">
        <v>49000</v>
      </c>
      <c r="L14" s="122">
        <v>0</v>
      </c>
    </row>
    <row r="15" spans="1:12" ht="18.75" customHeight="1" thickBot="1">
      <c r="A15" s="1105"/>
      <c r="B15" s="970"/>
      <c r="C15" s="1095" t="s">
        <v>118</v>
      </c>
      <c r="D15" s="1096"/>
      <c r="E15" s="1097"/>
      <c r="F15" s="35">
        <f t="shared" si="0"/>
        <v>219110</v>
      </c>
      <c r="G15" s="123">
        <f t="shared" si="1"/>
        <v>219110</v>
      </c>
      <c r="H15" s="123">
        <v>0</v>
      </c>
      <c r="I15" s="123">
        <v>219110</v>
      </c>
      <c r="J15" s="123">
        <v>0</v>
      </c>
      <c r="K15" s="123">
        <v>0</v>
      </c>
      <c r="L15" s="907">
        <v>0</v>
      </c>
    </row>
    <row r="16" spans="1:14" ht="18.75" customHeight="1" thickTop="1">
      <c r="A16" s="1098" t="s">
        <v>126</v>
      </c>
      <c r="B16" s="1100" t="s">
        <v>109</v>
      </c>
      <c r="C16" s="1101"/>
      <c r="D16" s="1101"/>
      <c r="E16" s="1102"/>
      <c r="F16" s="228">
        <f>ROUND(F5*1000/$L$2,0)</f>
        <v>6668076</v>
      </c>
      <c r="G16" s="228">
        <f aca="true" t="shared" si="2" ref="G16:L16">ROUND(G5*1000/$L$2,0)</f>
        <v>6635431</v>
      </c>
      <c r="H16" s="234">
        <f t="shared" si="2"/>
        <v>956288</v>
      </c>
      <c r="I16" s="234">
        <f t="shared" si="2"/>
        <v>5679143</v>
      </c>
      <c r="J16" s="234">
        <f t="shared" si="2"/>
        <v>0</v>
      </c>
      <c r="K16" s="234">
        <f t="shared" si="2"/>
        <v>32645</v>
      </c>
      <c r="L16" s="235">
        <f t="shared" si="2"/>
        <v>0</v>
      </c>
      <c r="M16" s="120" t="s">
        <v>298</v>
      </c>
      <c r="N16" s="120" t="s">
        <v>282</v>
      </c>
    </row>
    <row r="17" spans="1:12" ht="18.75" customHeight="1">
      <c r="A17" s="1098"/>
      <c r="B17" s="960"/>
      <c r="C17" s="1089" t="s">
        <v>110</v>
      </c>
      <c r="D17" s="1094"/>
      <c r="E17" s="1090"/>
      <c r="F17" s="49">
        <f aca="true" t="shared" si="3" ref="F17:L17">ROUND(F6*1000/$L$2,0)</f>
        <v>6439459</v>
      </c>
      <c r="G17" s="49">
        <f t="shared" si="3"/>
        <v>6439459</v>
      </c>
      <c r="H17" s="49">
        <f t="shared" si="3"/>
        <v>936924</v>
      </c>
      <c r="I17" s="49">
        <f t="shared" si="3"/>
        <v>5502535</v>
      </c>
      <c r="J17" s="49">
        <f t="shared" si="3"/>
        <v>0</v>
      </c>
      <c r="K17" s="49">
        <f t="shared" si="3"/>
        <v>0</v>
      </c>
      <c r="L17" s="57">
        <f t="shared" si="3"/>
        <v>0</v>
      </c>
    </row>
    <row r="18" spans="1:12" ht="18.75" customHeight="1">
      <c r="A18" s="1098"/>
      <c r="B18" s="961"/>
      <c r="C18" s="960"/>
      <c r="D18" s="1089" t="s">
        <v>111</v>
      </c>
      <c r="E18" s="1090"/>
      <c r="F18" s="49">
        <f aca="true" t="shared" si="4" ref="F18:L18">ROUND(F7*1000/$L$2,0)</f>
        <v>5974690</v>
      </c>
      <c r="G18" s="49">
        <f t="shared" si="4"/>
        <v>5974690</v>
      </c>
      <c r="H18" s="49">
        <f t="shared" si="4"/>
        <v>834582</v>
      </c>
      <c r="I18" s="49">
        <f t="shared" si="4"/>
        <v>5140109</v>
      </c>
      <c r="J18" s="49">
        <f t="shared" si="4"/>
        <v>0</v>
      </c>
      <c r="K18" s="49">
        <f t="shared" si="4"/>
        <v>0</v>
      </c>
      <c r="L18" s="57">
        <f t="shared" si="4"/>
        <v>0</v>
      </c>
    </row>
    <row r="19" spans="1:12" ht="18.75" customHeight="1">
      <c r="A19" s="1098"/>
      <c r="B19" s="961"/>
      <c r="C19" s="961"/>
      <c r="D19" s="960"/>
      <c r="E19" s="50" t="s">
        <v>281</v>
      </c>
      <c r="F19" s="49">
        <f aca="true" t="shared" si="5" ref="F19:L19">ROUND(F8*1000/$L$2,0)</f>
        <v>3505139</v>
      </c>
      <c r="G19" s="49">
        <f t="shared" si="5"/>
        <v>3505139</v>
      </c>
      <c r="H19" s="49">
        <f t="shared" si="5"/>
        <v>769854</v>
      </c>
      <c r="I19" s="49">
        <f t="shared" si="5"/>
        <v>2735285</v>
      </c>
      <c r="J19" s="49">
        <f t="shared" si="5"/>
        <v>0</v>
      </c>
      <c r="K19" s="49">
        <f t="shared" si="5"/>
        <v>0</v>
      </c>
      <c r="L19" s="57">
        <f t="shared" si="5"/>
        <v>0</v>
      </c>
    </row>
    <row r="20" spans="1:12" ht="18.75" customHeight="1">
      <c r="A20" s="1098"/>
      <c r="B20" s="961"/>
      <c r="C20" s="961"/>
      <c r="D20" s="966"/>
      <c r="E20" s="11" t="s">
        <v>112</v>
      </c>
      <c r="F20" s="49">
        <f aca="true" t="shared" si="6" ref="F20:L20">ROUND(F9*1000/$L$2,0)</f>
        <v>2469551</v>
      </c>
      <c r="G20" s="49">
        <f t="shared" si="6"/>
        <v>2469551</v>
      </c>
      <c r="H20" s="49">
        <f t="shared" si="6"/>
        <v>64728</v>
      </c>
      <c r="I20" s="49">
        <f t="shared" si="6"/>
        <v>2404823</v>
      </c>
      <c r="J20" s="49">
        <f t="shared" si="6"/>
        <v>0</v>
      </c>
      <c r="K20" s="49">
        <f t="shared" si="6"/>
        <v>0</v>
      </c>
      <c r="L20" s="57">
        <f t="shared" si="6"/>
        <v>0</v>
      </c>
    </row>
    <row r="21" spans="1:12" ht="18.75" customHeight="1">
      <c r="A21" s="1098"/>
      <c r="B21" s="961"/>
      <c r="C21" s="961"/>
      <c r="D21" s="1089" t="s">
        <v>113</v>
      </c>
      <c r="E21" s="1090"/>
      <c r="F21" s="49">
        <f aca="true" t="shared" si="7" ref="F21:L21">ROUND(F10*1000/$L$2,0)</f>
        <v>57203</v>
      </c>
      <c r="G21" s="49">
        <f t="shared" si="7"/>
        <v>57203</v>
      </c>
      <c r="H21" s="49">
        <f t="shared" si="7"/>
        <v>5523</v>
      </c>
      <c r="I21" s="49">
        <f t="shared" si="7"/>
        <v>51680</v>
      </c>
      <c r="J21" s="49">
        <f t="shared" si="7"/>
        <v>0</v>
      </c>
      <c r="K21" s="49">
        <f t="shared" si="7"/>
        <v>0</v>
      </c>
      <c r="L21" s="57">
        <f t="shared" si="7"/>
        <v>0</v>
      </c>
    </row>
    <row r="22" spans="1:12" ht="18.75" customHeight="1">
      <c r="A22" s="1098"/>
      <c r="B22" s="961"/>
      <c r="C22" s="961"/>
      <c r="D22" s="1089" t="s">
        <v>114</v>
      </c>
      <c r="E22" s="1090"/>
      <c r="F22" s="49">
        <f aca="true" t="shared" si="8" ref="F22:L22">ROUND(F11*1000/$L$2,0)</f>
        <v>181879</v>
      </c>
      <c r="G22" s="49">
        <f t="shared" si="8"/>
        <v>181879</v>
      </c>
      <c r="H22" s="49">
        <f t="shared" si="8"/>
        <v>9773</v>
      </c>
      <c r="I22" s="49">
        <f t="shared" si="8"/>
        <v>172106</v>
      </c>
      <c r="J22" s="49">
        <f t="shared" si="8"/>
        <v>0</v>
      </c>
      <c r="K22" s="49">
        <f t="shared" si="8"/>
        <v>0</v>
      </c>
      <c r="L22" s="57">
        <f t="shared" si="8"/>
        <v>0</v>
      </c>
    </row>
    <row r="23" spans="1:12" ht="18.75" customHeight="1">
      <c r="A23" s="1098"/>
      <c r="B23" s="961"/>
      <c r="C23" s="961"/>
      <c r="D23" s="1089" t="s">
        <v>115</v>
      </c>
      <c r="E23" s="1090"/>
      <c r="F23" s="49">
        <f aca="true" t="shared" si="9" ref="F23:L23">ROUND(F12*1000/$L$2,0)</f>
        <v>222865</v>
      </c>
      <c r="G23" s="49">
        <f t="shared" si="9"/>
        <v>222865</v>
      </c>
      <c r="H23" s="49">
        <f t="shared" si="9"/>
        <v>87047</v>
      </c>
      <c r="I23" s="49">
        <f t="shared" si="9"/>
        <v>135819</v>
      </c>
      <c r="J23" s="49">
        <f t="shared" si="9"/>
        <v>0</v>
      </c>
      <c r="K23" s="49">
        <f t="shared" si="9"/>
        <v>0</v>
      </c>
      <c r="L23" s="57">
        <f t="shared" si="9"/>
        <v>0</v>
      </c>
    </row>
    <row r="24" spans="1:12" ht="18.75" customHeight="1">
      <c r="A24" s="1098"/>
      <c r="B24" s="961"/>
      <c r="C24" s="966"/>
      <c r="D24" s="1089" t="s">
        <v>116</v>
      </c>
      <c r="E24" s="1090"/>
      <c r="F24" s="49">
        <f aca="true" t="shared" si="10" ref="F24:L24">ROUND(F13*1000/$L$2,0)</f>
        <v>2822</v>
      </c>
      <c r="G24" s="49">
        <f t="shared" si="10"/>
        <v>2822</v>
      </c>
      <c r="H24" s="49">
        <f t="shared" si="10"/>
        <v>0</v>
      </c>
      <c r="I24" s="49">
        <f t="shared" si="10"/>
        <v>2822</v>
      </c>
      <c r="J24" s="49">
        <f t="shared" si="10"/>
        <v>0</v>
      </c>
      <c r="K24" s="49">
        <f t="shared" si="10"/>
        <v>0</v>
      </c>
      <c r="L24" s="57">
        <f t="shared" si="10"/>
        <v>0</v>
      </c>
    </row>
    <row r="25" spans="1:12" ht="18.75" customHeight="1">
      <c r="A25" s="1098"/>
      <c r="B25" s="961"/>
      <c r="C25" s="1089" t="s">
        <v>117</v>
      </c>
      <c r="D25" s="1094"/>
      <c r="E25" s="1090"/>
      <c r="F25" s="49">
        <f aca="true" t="shared" si="11" ref="F25:L25">ROUND(F14*1000/$L$2,0)</f>
        <v>82641</v>
      </c>
      <c r="G25" s="49">
        <f t="shared" si="11"/>
        <v>49996</v>
      </c>
      <c r="H25" s="49">
        <f t="shared" si="11"/>
        <v>19364</v>
      </c>
      <c r="I25" s="49">
        <f t="shared" si="11"/>
        <v>30632</v>
      </c>
      <c r="J25" s="49">
        <f t="shared" si="11"/>
        <v>0</v>
      </c>
      <c r="K25" s="49">
        <f t="shared" si="11"/>
        <v>32645</v>
      </c>
      <c r="L25" s="57">
        <f t="shared" si="11"/>
        <v>0</v>
      </c>
    </row>
    <row r="26" spans="1:12" ht="18.75" customHeight="1" thickBot="1">
      <c r="A26" s="1099"/>
      <c r="B26" s="962"/>
      <c r="C26" s="1091" t="s">
        <v>118</v>
      </c>
      <c r="D26" s="1092"/>
      <c r="E26" s="1093"/>
      <c r="F26" s="41">
        <f aca="true" t="shared" si="12" ref="F26:L26">ROUND(F15*1000/$L$2,0)</f>
        <v>145976</v>
      </c>
      <c r="G26" s="41">
        <f t="shared" si="12"/>
        <v>145976</v>
      </c>
      <c r="H26" s="41">
        <f t="shared" si="12"/>
        <v>0</v>
      </c>
      <c r="I26" s="41">
        <f t="shared" si="12"/>
        <v>145976</v>
      </c>
      <c r="J26" s="41">
        <f t="shared" si="12"/>
        <v>0</v>
      </c>
      <c r="K26" s="41">
        <f t="shared" si="12"/>
        <v>0</v>
      </c>
      <c r="L26" s="42">
        <f t="shared" si="12"/>
        <v>0</v>
      </c>
    </row>
    <row r="27" ht="19.5" customHeight="1">
      <c r="A27" s="7" t="s">
        <v>120</v>
      </c>
    </row>
  </sheetData>
  <sheetProtection/>
  <mergeCells count="32">
    <mergeCell ref="K3:K4"/>
    <mergeCell ref="L3:L4"/>
    <mergeCell ref="A1:H1"/>
    <mergeCell ref="A3:E4"/>
    <mergeCell ref="F3:F4"/>
    <mergeCell ref="G3:J3"/>
    <mergeCell ref="A5:A15"/>
    <mergeCell ref="B5:E5"/>
    <mergeCell ref="B6:B15"/>
    <mergeCell ref="C6:E6"/>
    <mergeCell ref="C7:C13"/>
    <mergeCell ref="D7:E7"/>
    <mergeCell ref="D8:D9"/>
    <mergeCell ref="D10:E10"/>
    <mergeCell ref="D11:E11"/>
    <mergeCell ref="D12:E12"/>
    <mergeCell ref="D13:E13"/>
    <mergeCell ref="C14:E14"/>
    <mergeCell ref="C15:E15"/>
    <mergeCell ref="A16:A26"/>
    <mergeCell ref="B16:E16"/>
    <mergeCell ref="B17:B26"/>
    <mergeCell ref="C17:E17"/>
    <mergeCell ref="C18:C24"/>
    <mergeCell ref="D18:E18"/>
    <mergeCell ref="D19:D20"/>
    <mergeCell ref="D21:E21"/>
    <mergeCell ref="C26:E26"/>
    <mergeCell ref="D22:E22"/>
    <mergeCell ref="D23:E23"/>
    <mergeCell ref="D24:E24"/>
    <mergeCell ref="C25:E25"/>
  </mergeCells>
  <printOptions/>
  <pageMargins left="0.7" right="0.57" top="1" bottom="1" header="0.512" footer="0.512"/>
  <pageSetup fitToHeight="1" fitToWidth="1" horizontalDpi="300" verticalDpi="300" orientation="landscape" paperSize="9" scale="95" r:id="rId1"/>
</worksheet>
</file>

<file path=xl/worksheets/sheet12.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
      <selection activeCell="L2" sqref="L2"/>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3" width="9.00390625" style="7" customWidth="1"/>
    <col min="14" max="14" width="12.75390625" style="7" bestFit="1" customWidth="1"/>
    <col min="15" max="16384" width="9.00390625" style="7" customWidth="1"/>
  </cols>
  <sheetData>
    <row r="1" spans="1:8" ht="21" customHeight="1">
      <c r="A1" s="1112" t="s">
        <v>127</v>
      </c>
      <c r="B1" s="1112"/>
      <c r="C1" s="1112"/>
      <c r="D1" s="1112"/>
      <c r="E1" s="1112"/>
      <c r="F1" s="1112"/>
      <c r="G1" s="1112"/>
      <c r="H1" s="1112"/>
    </row>
    <row r="2" spans="11:12" ht="21" customHeight="1" thickBot="1">
      <c r="K2" s="52" t="s">
        <v>125</v>
      </c>
      <c r="L2" s="908">
        <f>22678+26</f>
        <v>22704</v>
      </c>
    </row>
    <row r="3" spans="1:12" ht="16.5" customHeight="1">
      <c r="A3" s="1113" t="s">
        <v>106</v>
      </c>
      <c r="B3" s="1114"/>
      <c r="C3" s="1114"/>
      <c r="D3" s="1114"/>
      <c r="E3" s="1115"/>
      <c r="F3" s="1055" t="s">
        <v>28</v>
      </c>
      <c r="G3" s="1050" t="s">
        <v>93</v>
      </c>
      <c r="H3" s="1051"/>
      <c r="I3" s="1051"/>
      <c r="J3" s="1051"/>
      <c r="K3" s="1055" t="s">
        <v>107</v>
      </c>
      <c r="L3" s="1110" t="s">
        <v>264</v>
      </c>
    </row>
    <row r="4" spans="1:12" ht="33" customHeight="1" thickBot="1">
      <c r="A4" s="1116"/>
      <c r="B4" s="1117"/>
      <c r="C4" s="1117"/>
      <c r="D4" s="1117"/>
      <c r="E4" s="1118"/>
      <c r="F4" s="1109"/>
      <c r="G4" s="53" t="s">
        <v>108</v>
      </c>
      <c r="H4" s="46" t="s">
        <v>268</v>
      </c>
      <c r="I4" s="181" t="s">
        <v>263</v>
      </c>
      <c r="J4" s="182" t="s">
        <v>269</v>
      </c>
      <c r="K4" s="1109"/>
      <c r="L4" s="1111"/>
    </row>
    <row r="5" spans="1:14" ht="18.75" customHeight="1">
      <c r="A5" s="1103" t="s">
        <v>27</v>
      </c>
      <c r="B5" s="1106" t="s">
        <v>109</v>
      </c>
      <c r="C5" s="1107"/>
      <c r="D5" s="1107"/>
      <c r="E5" s="1108"/>
      <c r="F5" s="230">
        <f aca="true" t="shared" si="0" ref="F5:F15">G5+K5+L5</f>
        <v>33668766</v>
      </c>
      <c r="G5" s="230">
        <f>SUM(H5:J5)</f>
        <v>32807766</v>
      </c>
      <c r="H5" s="230">
        <f>H6+H14+H15</f>
        <v>679473</v>
      </c>
      <c r="I5" s="230">
        <f>I6+I14+I15</f>
        <v>32128293</v>
      </c>
      <c r="J5" s="230">
        <f>J6+J14+J15</f>
        <v>0</v>
      </c>
      <c r="K5" s="230">
        <f>K6+K14+K15</f>
        <v>861000</v>
      </c>
      <c r="L5" s="231">
        <f>L6+L14+L15</f>
        <v>0</v>
      </c>
      <c r="N5" s="93"/>
    </row>
    <row r="6" spans="1:14" ht="18.75" customHeight="1">
      <c r="A6" s="1104"/>
      <c r="B6" s="960"/>
      <c r="C6" s="1089" t="s">
        <v>110</v>
      </c>
      <c r="D6" s="1094"/>
      <c r="E6" s="1090"/>
      <c r="F6" s="16">
        <f t="shared" si="0"/>
        <v>28652819</v>
      </c>
      <c r="G6" s="16">
        <f aca="true" t="shared" si="1" ref="G6:G15">SUM(H6:J6)</f>
        <v>28652819</v>
      </c>
      <c r="H6" s="16">
        <f>H7+SUM(H10:H13)</f>
        <v>270035</v>
      </c>
      <c r="I6" s="16">
        <f>I7+SUM(I10:I13)</f>
        <v>28382784</v>
      </c>
      <c r="J6" s="16">
        <f>J7+SUM(J10:J13)</f>
        <v>0</v>
      </c>
      <c r="K6" s="16">
        <f>K7+SUM(K10:K13)</f>
        <v>0</v>
      </c>
      <c r="L6" s="18">
        <f>L7+SUM(L10:L13)</f>
        <v>0</v>
      </c>
      <c r="N6" s="93"/>
    </row>
    <row r="7" spans="1:12" ht="18.75" customHeight="1">
      <c r="A7" s="1104"/>
      <c r="B7" s="961"/>
      <c r="C7" s="960"/>
      <c r="D7" s="1089" t="s">
        <v>111</v>
      </c>
      <c r="E7" s="1090"/>
      <c r="F7" s="16">
        <f t="shared" si="0"/>
        <v>23049425</v>
      </c>
      <c r="G7" s="16">
        <f t="shared" si="1"/>
        <v>23049425</v>
      </c>
      <c r="H7" s="43">
        <v>2288</v>
      </c>
      <c r="I7" s="43">
        <v>23047137</v>
      </c>
      <c r="J7" s="43">
        <f>J8+J9</f>
        <v>0</v>
      </c>
      <c r="K7" s="43">
        <f>K8+K9</f>
        <v>0</v>
      </c>
      <c r="L7" s="122">
        <f>L8+L9</f>
        <v>0</v>
      </c>
    </row>
    <row r="8" spans="1:12" ht="18.75" customHeight="1">
      <c r="A8" s="1104"/>
      <c r="B8" s="961"/>
      <c r="C8" s="961"/>
      <c r="D8" s="960"/>
      <c r="E8" s="50" t="s">
        <v>280</v>
      </c>
      <c r="F8" s="16">
        <f t="shared" si="0"/>
        <v>14473357</v>
      </c>
      <c r="G8" s="16">
        <f t="shared" si="1"/>
        <v>14473357</v>
      </c>
      <c r="H8" s="43">
        <v>0</v>
      </c>
      <c r="I8" s="43">
        <v>14473357</v>
      </c>
      <c r="J8" s="43">
        <v>0</v>
      </c>
      <c r="K8" s="43">
        <v>0</v>
      </c>
      <c r="L8" s="122">
        <v>0</v>
      </c>
    </row>
    <row r="9" spans="1:12" ht="18.75" customHeight="1">
      <c r="A9" s="1104"/>
      <c r="B9" s="961"/>
      <c r="C9" s="961"/>
      <c r="D9" s="966"/>
      <c r="E9" s="11" t="s">
        <v>112</v>
      </c>
      <c r="F9" s="16">
        <f t="shared" si="0"/>
        <v>8576068</v>
      </c>
      <c r="G9" s="16">
        <f t="shared" si="1"/>
        <v>8576068</v>
      </c>
      <c r="H9" s="43">
        <f>H7-H8</f>
        <v>2288</v>
      </c>
      <c r="I9" s="43">
        <f>I7-I8</f>
        <v>8573780</v>
      </c>
      <c r="J9" s="43">
        <v>0</v>
      </c>
      <c r="K9" s="43">
        <v>0</v>
      </c>
      <c r="L9" s="122">
        <v>0</v>
      </c>
    </row>
    <row r="10" spans="1:12" ht="18.75" customHeight="1">
      <c r="A10" s="1104"/>
      <c r="B10" s="961"/>
      <c r="C10" s="961"/>
      <c r="D10" s="1089" t="s">
        <v>113</v>
      </c>
      <c r="E10" s="1090"/>
      <c r="F10" s="16">
        <f t="shared" si="0"/>
        <v>657148</v>
      </c>
      <c r="G10" s="16">
        <f t="shared" si="1"/>
        <v>657148</v>
      </c>
      <c r="H10" s="43">
        <v>41273</v>
      </c>
      <c r="I10" s="43">
        <v>615875</v>
      </c>
      <c r="J10" s="43">
        <v>0</v>
      </c>
      <c r="K10" s="43">
        <v>0</v>
      </c>
      <c r="L10" s="122">
        <v>0</v>
      </c>
    </row>
    <row r="11" spans="1:12" ht="18.75" customHeight="1">
      <c r="A11" s="1104"/>
      <c r="B11" s="961"/>
      <c r="C11" s="961"/>
      <c r="D11" s="1089" t="s">
        <v>114</v>
      </c>
      <c r="E11" s="1090"/>
      <c r="F11" s="16">
        <f t="shared" si="0"/>
        <v>2006894</v>
      </c>
      <c r="G11" s="16">
        <f t="shared" si="1"/>
        <v>2006894</v>
      </c>
      <c r="H11" s="43">
        <v>81654</v>
      </c>
      <c r="I11" s="43">
        <v>1925240</v>
      </c>
      <c r="J11" s="43">
        <v>0</v>
      </c>
      <c r="K11" s="43">
        <v>0</v>
      </c>
      <c r="L11" s="122">
        <v>0</v>
      </c>
    </row>
    <row r="12" spans="1:12" ht="18.75" customHeight="1">
      <c r="A12" s="1104"/>
      <c r="B12" s="961"/>
      <c r="C12" s="961"/>
      <c r="D12" s="1089" t="s">
        <v>115</v>
      </c>
      <c r="E12" s="1090"/>
      <c r="F12" s="16">
        <f t="shared" si="0"/>
        <v>2821767</v>
      </c>
      <c r="G12" s="16">
        <f t="shared" si="1"/>
        <v>2821767</v>
      </c>
      <c r="H12" s="43">
        <v>144820</v>
      </c>
      <c r="I12" s="43">
        <v>2676947</v>
      </c>
      <c r="J12" s="43">
        <v>0</v>
      </c>
      <c r="K12" s="43">
        <v>0</v>
      </c>
      <c r="L12" s="122">
        <v>0</v>
      </c>
    </row>
    <row r="13" spans="1:12" ht="18.75" customHeight="1">
      <c r="A13" s="1104"/>
      <c r="B13" s="961"/>
      <c r="C13" s="966"/>
      <c r="D13" s="1089" t="s">
        <v>116</v>
      </c>
      <c r="E13" s="1090"/>
      <c r="F13" s="16">
        <f t="shared" si="0"/>
        <v>117585</v>
      </c>
      <c r="G13" s="16">
        <f t="shared" si="1"/>
        <v>117585</v>
      </c>
      <c r="H13" s="43">
        <v>0</v>
      </c>
      <c r="I13" s="43">
        <v>117585</v>
      </c>
      <c r="J13" s="43">
        <v>0</v>
      </c>
      <c r="K13" s="43">
        <v>0</v>
      </c>
      <c r="L13" s="122">
        <v>0</v>
      </c>
    </row>
    <row r="14" spans="1:12" ht="18.75" customHeight="1">
      <c r="A14" s="1104"/>
      <c r="B14" s="961"/>
      <c r="C14" s="1089" t="s">
        <v>117</v>
      </c>
      <c r="D14" s="1094"/>
      <c r="E14" s="1090"/>
      <c r="F14" s="16">
        <f t="shared" si="0"/>
        <v>3606642</v>
      </c>
      <c r="G14" s="16">
        <f t="shared" si="1"/>
        <v>2745642</v>
      </c>
      <c r="H14" s="43">
        <v>409438</v>
      </c>
      <c r="I14" s="43">
        <v>2336204</v>
      </c>
      <c r="J14" s="43">
        <v>0</v>
      </c>
      <c r="K14" s="43">
        <v>861000</v>
      </c>
      <c r="L14" s="122">
        <v>0</v>
      </c>
    </row>
    <row r="15" spans="1:12" ht="18.75" customHeight="1" thickBot="1">
      <c r="A15" s="1105"/>
      <c r="B15" s="970"/>
      <c r="C15" s="1095" t="s">
        <v>118</v>
      </c>
      <c r="D15" s="1096"/>
      <c r="E15" s="1097"/>
      <c r="F15" s="51">
        <f t="shared" si="0"/>
        <v>1409305</v>
      </c>
      <c r="G15" s="51">
        <f t="shared" si="1"/>
        <v>1409305</v>
      </c>
      <c r="H15" s="904">
        <v>0</v>
      </c>
      <c r="I15" s="904">
        <v>1409305</v>
      </c>
      <c r="J15" s="904">
        <v>0</v>
      </c>
      <c r="K15" s="904">
        <v>0</v>
      </c>
      <c r="L15" s="905">
        <v>0</v>
      </c>
    </row>
    <row r="16" spans="1:12" ht="18.75" customHeight="1" thickTop="1">
      <c r="A16" s="1098" t="s">
        <v>126</v>
      </c>
      <c r="B16" s="1100" t="s">
        <v>109</v>
      </c>
      <c r="C16" s="1101"/>
      <c r="D16" s="1101"/>
      <c r="E16" s="1102"/>
      <c r="F16" s="228">
        <f>ROUND(F5*1000/$L$2,0)</f>
        <v>1482944</v>
      </c>
      <c r="G16" s="228">
        <f aca="true" t="shared" si="2" ref="G16:L16">ROUND(G5*1000/$L$2,0)</f>
        <v>1445021</v>
      </c>
      <c r="H16" s="234">
        <f t="shared" si="2"/>
        <v>29927</v>
      </c>
      <c r="I16" s="234">
        <f t="shared" si="2"/>
        <v>1415094</v>
      </c>
      <c r="J16" s="234">
        <f t="shared" si="2"/>
        <v>0</v>
      </c>
      <c r="K16" s="234">
        <f t="shared" si="2"/>
        <v>37923</v>
      </c>
      <c r="L16" s="235">
        <f t="shared" si="2"/>
        <v>0</v>
      </c>
    </row>
    <row r="17" spans="1:12" ht="18.75" customHeight="1">
      <c r="A17" s="1098"/>
      <c r="B17" s="960"/>
      <c r="C17" s="1089" t="s">
        <v>110</v>
      </c>
      <c r="D17" s="1094"/>
      <c r="E17" s="1090"/>
      <c r="F17" s="49">
        <f aca="true" t="shared" si="3" ref="F17:L17">ROUND(F6*1000/$L$2,0)</f>
        <v>1262016</v>
      </c>
      <c r="G17" s="49">
        <f t="shared" si="3"/>
        <v>1262016</v>
      </c>
      <c r="H17" s="49">
        <f t="shared" si="3"/>
        <v>11894</v>
      </c>
      <c r="I17" s="49">
        <f t="shared" si="3"/>
        <v>1250123</v>
      </c>
      <c r="J17" s="49">
        <f t="shared" si="3"/>
        <v>0</v>
      </c>
      <c r="K17" s="49">
        <f t="shared" si="3"/>
        <v>0</v>
      </c>
      <c r="L17" s="57">
        <f t="shared" si="3"/>
        <v>0</v>
      </c>
    </row>
    <row r="18" spans="1:12" ht="18.75" customHeight="1">
      <c r="A18" s="1098"/>
      <c r="B18" s="961"/>
      <c r="C18" s="960"/>
      <c r="D18" s="1089" t="s">
        <v>111</v>
      </c>
      <c r="E18" s="1090"/>
      <c r="F18" s="49">
        <f aca="true" t="shared" si="4" ref="F18:L18">ROUND(F7*1000/$L$2,0)</f>
        <v>1015214</v>
      </c>
      <c r="G18" s="49">
        <f t="shared" si="4"/>
        <v>1015214</v>
      </c>
      <c r="H18" s="49">
        <f t="shared" si="4"/>
        <v>101</v>
      </c>
      <c r="I18" s="49">
        <f t="shared" si="4"/>
        <v>1015114</v>
      </c>
      <c r="J18" s="49">
        <f t="shared" si="4"/>
        <v>0</v>
      </c>
      <c r="K18" s="49">
        <f t="shared" si="4"/>
        <v>0</v>
      </c>
      <c r="L18" s="57">
        <f t="shared" si="4"/>
        <v>0</v>
      </c>
    </row>
    <row r="19" spans="1:12" ht="18.75" customHeight="1">
      <c r="A19" s="1098"/>
      <c r="B19" s="961"/>
      <c r="C19" s="961"/>
      <c r="D19" s="960"/>
      <c r="E19" s="50" t="s">
        <v>281</v>
      </c>
      <c r="F19" s="49">
        <f aca="true" t="shared" si="5" ref="F19:L19">ROUND(F8*1000/$L$2,0)</f>
        <v>637480</v>
      </c>
      <c r="G19" s="49">
        <f t="shared" si="5"/>
        <v>637480</v>
      </c>
      <c r="H19" s="49">
        <f t="shared" si="5"/>
        <v>0</v>
      </c>
      <c r="I19" s="49">
        <f t="shared" si="5"/>
        <v>637480</v>
      </c>
      <c r="J19" s="49">
        <f t="shared" si="5"/>
        <v>0</v>
      </c>
      <c r="K19" s="49">
        <f t="shared" si="5"/>
        <v>0</v>
      </c>
      <c r="L19" s="57">
        <f t="shared" si="5"/>
        <v>0</v>
      </c>
    </row>
    <row r="20" spans="1:12" ht="18.75" customHeight="1">
      <c r="A20" s="1098"/>
      <c r="B20" s="961"/>
      <c r="C20" s="961"/>
      <c r="D20" s="966"/>
      <c r="E20" s="11" t="s">
        <v>112</v>
      </c>
      <c r="F20" s="49">
        <f aca="true" t="shared" si="6" ref="F20:L20">ROUND(F9*1000/$L$2,0)</f>
        <v>377734</v>
      </c>
      <c r="G20" s="49">
        <f t="shared" si="6"/>
        <v>377734</v>
      </c>
      <c r="H20" s="49">
        <f t="shared" si="6"/>
        <v>101</v>
      </c>
      <c r="I20" s="49">
        <f t="shared" si="6"/>
        <v>377633</v>
      </c>
      <c r="J20" s="49">
        <f t="shared" si="6"/>
        <v>0</v>
      </c>
      <c r="K20" s="49">
        <f t="shared" si="6"/>
        <v>0</v>
      </c>
      <c r="L20" s="57">
        <f t="shared" si="6"/>
        <v>0</v>
      </c>
    </row>
    <row r="21" spans="1:12" ht="18.75" customHeight="1">
      <c r="A21" s="1098"/>
      <c r="B21" s="961"/>
      <c r="C21" s="961"/>
      <c r="D21" s="1089" t="s">
        <v>113</v>
      </c>
      <c r="E21" s="1090"/>
      <c r="F21" s="49">
        <f aca="true" t="shared" si="7" ref="F21:L21">ROUND(F10*1000/$L$2,0)</f>
        <v>28944</v>
      </c>
      <c r="G21" s="49">
        <f t="shared" si="7"/>
        <v>28944</v>
      </c>
      <c r="H21" s="49">
        <f t="shared" si="7"/>
        <v>1818</v>
      </c>
      <c r="I21" s="49">
        <f t="shared" si="7"/>
        <v>27126</v>
      </c>
      <c r="J21" s="49">
        <f t="shared" si="7"/>
        <v>0</v>
      </c>
      <c r="K21" s="49">
        <f t="shared" si="7"/>
        <v>0</v>
      </c>
      <c r="L21" s="57">
        <f t="shared" si="7"/>
        <v>0</v>
      </c>
    </row>
    <row r="22" spans="1:12" ht="18.75" customHeight="1">
      <c r="A22" s="1098"/>
      <c r="B22" s="961"/>
      <c r="C22" s="961"/>
      <c r="D22" s="1089" t="s">
        <v>114</v>
      </c>
      <c r="E22" s="1090"/>
      <c r="F22" s="49">
        <f aca="true" t="shared" si="8" ref="F22:L22">ROUND(F11*1000/$L$2,0)</f>
        <v>88394</v>
      </c>
      <c r="G22" s="49">
        <f t="shared" si="8"/>
        <v>88394</v>
      </c>
      <c r="H22" s="49">
        <f t="shared" si="8"/>
        <v>3596</v>
      </c>
      <c r="I22" s="49">
        <f t="shared" si="8"/>
        <v>84797</v>
      </c>
      <c r="J22" s="49">
        <f t="shared" si="8"/>
        <v>0</v>
      </c>
      <c r="K22" s="49">
        <f t="shared" si="8"/>
        <v>0</v>
      </c>
      <c r="L22" s="57">
        <f t="shared" si="8"/>
        <v>0</v>
      </c>
    </row>
    <row r="23" spans="1:12" ht="18.75" customHeight="1">
      <c r="A23" s="1098"/>
      <c r="B23" s="961"/>
      <c r="C23" s="961"/>
      <c r="D23" s="1089" t="s">
        <v>115</v>
      </c>
      <c r="E23" s="1090"/>
      <c r="F23" s="49">
        <f aca="true" t="shared" si="9" ref="F23:L23">ROUND(F12*1000/$L$2,0)</f>
        <v>124285</v>
      </c>
      <c r="G23" s="49">
        <f t="shared" si="9"/>
        <v>124285</v>
      </c>
      <c r="H23" s="49">
        <f t="shared" si="9"/>
        <v>6379</v>
      </c>
      <c r="I23" s="49">
        <f t="shared" si="9"/>
        <v>117906</v>
      </c>
      <c r="J23" s="49">
        <f t="shared" si="9"/>
        <v>0</v>
      </c>
      <c r="K23" s="49">
        <f t="shared" si="9"/>
        <v>0</v>
      </c>
      <c r="L23" s="57">
        <f t="shared" si="9"/>
        <v>0</v>
      </c>
    </row>
    <row r="24" spans="1:12" ht="18.75" customHeight="1">
      <c r="A24" s="1098"/>
      <c r="B24" s="961"/>
      <c r="C24" s="966"/>
      <c r="D24" s="1089" t="s">
        <v>116</v>
      </c>
      <c r="E24" s="1090"/>
      <c r="F24" s="49">
        <f aca="true" t="shared" si="10" ref="F24:L24">ROUND(F13*1000/$L$2,0)</f>
        <v>5179</v>
      </c>
      <c r="G24" s="49">
        <f t="shared" si="10"/>
        <v>5179</v>
      </c>
      <c r="H24" s="49">
        <f t="shared" si="10"/>
        <v>0</v>
      </c>
      <c r="I24" s="49">
        <f t="shared" si="10"/>
        <v>5179</v>
      </c>
      <c r="J24" s="49">
        <f t="shared" si="10"/>
        <v>0</v>
      </c>
      <c r="K24" s="49">
        <f t="shared" si="10"/>
        <v>0</v>
      </c>
      <c r="L24" s="57">
        <f t="shared" si="10"/>
        <v>0</v>
      </c>
    </row>
    <row r="25" spans="1:12" ht="18.75" customHeight="1">
      <c r="A25" s="1098"/>
      <c r="B25" s="961"/>
      <c r="C25" s="1089" t="s">
        <v>117</v>
      </c>
      <c r="D25" s="1094"/>
      <c r="E25" s="1090"/>
      <c r="F25" s="49">
        <f aca="true" t="shared" si="11" ref="F25:L25">ROUND(F14*1000/$L$2,0)</f>
        <v>158855</v>
      </c>
      <c r="G25" s="49">
        <f t="shared" si="11"/>
        <v>120932</v>
      </c>
      <c r="H25" s="49">
        <f t="shared" si="11"/>
        <v>18034</v>
      </c>
      <c r="I25" s="49">
        <f t="shared" si="11"/>
        <v>102898</v>
      </c>
      <c r="J25" s="49">
        <f t="shared" si="11"/>
        <v>0</v>
      </c>
      <c r="K25" s="49">
        <f t="shared" si="11"/>
        <v>37923</v>
      </c>
      <c r="L25" s="57">
        <f t="shared" si="11"/>
        <v>0</v>
      </c>
    </row>
    <row r="26" spans="1:12" ht="18.75" customHeight="1" thickBot="1">
      <c r="A26" s="1099"/>
      <c r="B26" s="962"/>
      <c r="C26" s="1091" t="s">
        <v>118</v>
      </c>
      <c r="D26" s="1092"/>
      <c r="E26" s="1093"/>
      <c r="F26" s="41">
        <f aca="true" t="shared" si="12" ref="F26:L26">ROUND(F15*1000/$L$2,0)</f>
        <v>62073</v>
      </c>
      <c r="G26" s="41">
        <f t="shared" si="12"/>
        <v>62073</v>
      </c>
      <c r="H26" s="41">
        <f t="shared" si="12"/>
        <v>0</v>
      </c>
      <c r="I26" s="41">
        <f t="shared" si="12"/>
        <v>62073</v>
      </c>
      <c r="J26" s="41">
        <f t="shared" si="12"/>
        <v>0</v>
      </c>
      <c r="K26" s="41">
        <f t="shared" si="12"/>
        <v>0</v>
      </c>
      <c r="L26" s="42">
        <f t="shared" si="12"/>
        <v>0</v>
      </c>
    </row>
    <row r="27" ht="19.5" customHeight="1">
      <c r="A27" s="7" t="s">
        <v>120</v>
      </c>
    </row>
  </sheetData>
  <sheetProtection/>
  <mergeCells count="32">
    <mergeCell ref="K3:K4"/>
    <mergeCell ref="L3:L4"/>
    <mergeCell ref="A1:H1"/>
    <mergeCell ref="A3:E4"/>
    <mergeCell ref="F3:F4"/>
    <mergeCell ref="G3:J3"/>
    <mergeCell ref="A5:A15"/>
    <mergeCell ref="B5:E5"/>
    <mergeCell ref="B6:B15"/>
    <mergeCell ref="C6:E6"/>
    <mergeCell ref="C7:C13"/>
    <mergeCell ref="D7:E7"/>
    <mergeCell ref="D8:D9"/>
    <mergeCell ref="D10:E10"/>
    <mergeCell ref="D11:E11"/>
    <mergeCell ref="D12:E12"/>
    <mergeCell ref="D13:E13"/>
    <mergeCell ref="C14:E14"/>
    <mergeCell ref="C15:E15"/>
    <mergeCell ref="A16:A26"/>
    <mergeCell ref="B16:E16"/>
    <mergeCell ref="B17:B26"/>
    <mergeCell ref="C17:E17"/>
    <mergeCell ref="C18:C24"/>
    <mergeCell ref="D18:E18"/>
    <mergeCell ref="D19:D20"/>
    <mergeCell ref="D21:E21"/>
    <mergeCell ref="C26:E26"/>
    <mergeCell ref="D22:E22"/>
    <mergeCell ref="D23:E23"/>
    <mergeCell ref="D24:E24"/>
    <mergeCell ref="C25:E25"/>
  </mergeCells>
  <printOptions/>
  <pageMargins left="0.75" right="0.75" top="1" bottom="1" header="0.512" footer="0.512"/>
  <pageSetup fitToHeight="1" fitToWidth="1" horizontalDpi="300" verticalDpi="300" orientation="landscape"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1:M27"/>
  <sheetViews>
    <sheetView zoomScalePageLayoutView="0" workbookViewId="0" topLeftCell="A1">
      <selection activeCell="L2" sqref="L2"/>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6384" width="9.00390625" style="7" customWidth="1"/>
  </cols>
  <sheetData>
    <row r="1" spans="1:8" ht="21" customHeight="1">
      <c r="A1" s="1112" t="s">
        <v>128</v>
      </c>
      <c r="B1" s="1112"/>
      <c r="C1" s="1112"/>
      <c r="D1" s="1112"/>
      <c r="E1" s="1112"/>
      <c r="F1" s="1112"/>
      <c r="G1" s="1112"/>
      <c r="H1" s="1112"/>
    </row>
    <row r="2" spans="11:12" ht="21" customHeight="1" thickBot="1">
      <c r="K2" s="52" t="s">
        <v>125</v>
      </c>
      <c r="L2" s="908">
        <v>295</v>
      </c>
    </row>
    <row r="3" spans="1:12" ht="16.5" customHeight="1">
      <c r="A3" s="1113" t="s">
        <v>106</v>
      </c>
      <c r="B3" s="1114"/>
      <c r="C3" s="1114"/>
      <c r="D3" s="1114"/>
      <c r="E3" s="1115"/>
      <c r="F3" s="1055" t="s">
        <v>28</v>
      </c>
      <c r="G3" s="1050" t="s">
        <v>93</v>
      </c>
      <c r="H3" s="1051"/>
      <c r="I3" s="1051"/>
      <c r="J3" s="1051"/>
      <c r="K3" s="1055" t="s">
        <v>107</v>
      </c>
      <c r="L3" s="1110" t="s">
        <v>264</v>
      </c>
    </row>
    <row r="4" spans="1:12" ht="33" customHeight="1" thickBot="1">
      <c r="A4" s="1116"/>
      <c r="B4" s="1117"/>
      <c r="C4" s="1117"/>
      <c r="D4" s="1117"/>
      <c r="E4" s="1118"/>
      <c r="F4" s="1109"/>
      <c r="G4" s="53" t="s">
        <v>108</v>
      </c>
      <c r="H4" s="46" t="s">
        <v>268</v>
      </c>
      <c r="I4" s="181" t="s">
        <v>263</v>
      </c>
      <c r="J4" s="182" t="s">
        <v>269</v>
      </c>
      <c r="K4" s="1109"/>
      <c r="L4" s="1111"/>
    </row>
    <row r="5" spans="1:12" ht="18.75" customHeight="1">
      <c r="A5" s="1103" t="s">
        <v>27</v>
      </c>
      <c r="B5" s="1106" t="s">
        <v>109</v>
      </c>
      <c r="C5" s="1107"/>
      <c r="D5" s="1107"/>
      <c r="E5" s="1108"/>
      <c r="F5" s="230">
        <f>G5+K5+L5</f>
        <v>942570</v>
      </c>
      <c r="G5" s="230">
        <f>SUM(H5:J5)</f>
        <v>942570</v>
      </c>
      <c r="H5" s="230">
        <f>H6+H14+H15</f>
        <v>3983</v>
      </c>
      <c r="I5" s="230">
        <f>I6+I14+I15</f>
        <v>938587</v>
      </c>
      <c r="J5" s="230">
        <f>J6+J14+J15</f>
        <v>0</v>
      </c>
      <c r="K5" s="230">
        <f>K6+K14+K15</f>
        <v>0</v>
      </c>
      <c r="L5" s="231">
        <f>L6+L14+L15</f>
        <v>0</v>
      </c>
    </row>
    <row r="6" spans="1:12" ht="18.75" customHeight="1">
      <c r="A6" s="1104"/>
      <c r="B6" s="960"/>
      <c r="C6" s="1089" t="s">
        <v>110</v>
      </c>
      <c r="D6" s="1094"/>
      <c r="E6" s="1090"/>
      <c r="F6" s="16">
        <f aca="true" t="shared" si="0" ref="F6:F15">G6+K6+L6</f>
        <v>942297</v>
      </c>
      <c r="G6" s="16">
        <f aca="true" t="shared" si="1" ref="G6:G15">SUM(H6:J6)</f>
        <v>942297</v>
      </c>
      <c r="H6" s="16">
        <f>H7+SUM(H10:H13)</f>
        <v>3943</v>
      </c>
      <c r="I6" s="16">
        <f>I7+SUM(I10:I13)</f>
        <v>938354</v>
      </c>
      <c r="J6" s="16">
        <f>J7+SUM(J10:J13)</f>
        <v>0</v>
      </c>
      <c r="K6" s="16">
        <f>K7+SUM(K10:K13)</f>
        <v>0</v>
      </c>
      <c r="L6" s="18">
        <f>L7+SUM(L10:L13)</f>
        <v>0</v>
      </c>
    </row>
    <row r="7" spans="1:13" ht="18.75" customHeight="1">
      <c r="A7" s="1104"/>
      <c r="B7" s="961"/>
      <c r="C7" s="960"/>
      <c r="D7" s="1089" t="s">
        <v>111</v>
      </c>
      <c r="E7" s="1090"/>
      <c r="F7" s="16">
        <f t="shared" si="0"/>
        <v>908175</v>
      </c>
      <c r="G7" s="16">
        <f>SUM(H7:J7)</f>
        <v>908175</v>
      </c>
      <c r="H7" s="43">
        <v>0</v>
      </c>
      <c r="I7" s="43">
        <v>908175</v>
      </c>
      <c r="J7" s="43">
        <f>J8+J9</f>
        <v>0</v>
      </c>
      <c r="K7" s="43">
        <f>K8+K9</f>
        <v>0</v>
      </c>
      <c r="L7" s="122">
        <f>L8+L9</f>
        <v>0</v>
      </c>
      <c r="M7" s="99"/>
    </row>
    <row r="8" spans="1:13" ht="18.75" customHeight="1">
      <c r="A8" s="1104"/>
      <c r="B8" s="961"/>
      <c r="C8" s="961"/>
      <c r="D8" s="960"/>
      <c r="E8" s="50" t="s">
        <v>280</v>
      </c>
      <c r="F8" s="16">
        <f t="shared" si="0"/>
        <v>608695</v>
      </c>
      <c r="G8" s="16">
        <f>SUM(H8:J8)</f>
        <v>608695</v>
      </c>
      <c r="H8" s="43">
        <v>0</v>
      </c>
      <c r="I8" s="43">
        <v>608695</v>
      </c>
      <c r="J8" s="43">
        <v>0</v>
      </c>
      <c r="K8" s="43">
        <v>0</v>
      </c>
      <c r="L8" s="122">
        <v>0</v>
      </c>
      <c r="M8" s="99"/>
    </row>
    <row r="9" spans="1:13" ht="18.75" customHeight="1">
      <c r="A9" s="1104"/>
      <c r="B9" s="961"/>
      <c r="C9" s="961"/>
      <c r="D9" s="966"/>
      <c r="E9" s="11" t="s">
        <v>112</v>
      </c>
      <c r="F9" s="16">
        <f t="shared" si="0"/>
        <v>299480</v>
      </c>
      <c r="G9" s="16">
        <f t="shared" si="1"/>
        <v>299480</v>
      </c>
      <c r="H9" s="43">
        <f>H7-H8</f>
        <v>0</v>
      </c>
      <c r="I9" s="43">
        <f>I7-I8</f>
        <v>299480</v>
      </c>
      <c r="J9" s="43">
        <v>0</v>
      </c>
      <c r="K9" s="43">
        <v>0</v>
      </c>
      <c r="L9" s="122">
        <v>0</v>
      </c>
      <c r="M9" s="99"/>
    </row>
    <row r="10" spans="1:13" ht="18.75" customHeight="1">
      <c r="A10" s="1104"/>
      <c r="B10" s="961"/>
      <c r="C10" s="961"/>
      <c r="D10" s="1089" t="s">
        <v>113</v>
      </c>
      <c r="E10" s="1090"/>
      <c r="F10" s="16">
        <f>G10+K10+L10</f>
        <v>6815</v>
      </c>
      <c r="G10" s="16">
        <f t="shared" si="1"/>
        <v>6815</v>
      </c>
      <c r="H10" s="43">
        <v>0</v>
      </c>
      <c r="I10" s="43">
        <v>6815</v>
      </c>
      <c r="J10" s="43">
        <v>0</v>
      </c>
      <c r="K10" s="43">
        <v>0</v>
      </c>
      <c r="L10" s="122">
        <v>0</v>
      </c>
      <c r="M10" s="99"/>
    </row>
    <row r="11" spans="1:13" ht="18.75" customHeight="1">
      <c r="A11" s="1104"/>
      <c r="B11" s="961"/>
      <c r="C11" s="961"/>
      <c r="D11" s="1089" t="s">
        <v>114</v>
      </c>
      <c r="E11" s="1090"/>
      <c r="F11" s="16">
        <f t="shared" si="0"/>
        <v>5266</v>
      </c>
      <c r="G11" s="16">
        <f t="shared" si="1"/>
        <v>5266</v>
      </c>
      <c r="H11" s="43">
        <v>0</v>
      </c>
      <c r="I11" s="43">
        <v>5266</v>
      </c>
      <c r="J11" s="43">
        <v>0</v>
      </c>
      <c r="K11" s="43">
        <v>0</v>
      </c>
      <c r="L11" s="122">
        <v>0</v>
      </c>
      <c r="M11" s="99"/>
    </row>
    <row r="12" spans="1:13" ht="18.75" customHeight="1">
      <c r="A12" s="1104"/>
      <c r="B12" s="961"/>
      <c r="C12" s="961"/>
      <c r="D12" s="1089" t="s">
        <v>115</v>
      </c>
      <c r="E12" s="1090"/>
      <c r="F12" s="16">
        <f t="shared" si="0"/>
        <v>21201</v>
      </c>
      <c r="G12" s="16">
        <f t="shared" si="1"/>
        <v>21201</v>
      </c>
      <c r="H12" s="43">
        <v>3943</v>
      </c>
      <c r="I12" s="43">
        <v>17258</v>
      </c>
      <c r="J12" s="43">
        <v>0</v>
      </c>
      <c r="K12" s="43">
        <v>0</v>
      </c>
      <c r="L12" s="122">
        <v>0</v>
      </c>
      <c r="M12" s="99"/>
    </row>
    <row r="13" spans="1:13" ht="18.75" customHeight="1">
      <c r="A13" s="1104"/>
      <c r="B13" s="961"/>
      <c r="C13" s="966"/>
      <c r="D13" s="1089" t="s">
        <v>116</v>
      </c>
      <c r="E13" s="1090"/>
      <c r="F13" s="16">
        <f t="shared" si="0"/>
        <v>840</v>
      </c>
      <c r="G13" s="16">
        <f t="shared" si="1"/>
        <v>840</v>
      </c>
      <c r="H13" s="43">
        <v>0</v>
      </c>
      <c r="I13" s="43">
        <v>840</v>
      </c>
      <c r="J13" s="43">
        <v>0</v>
      </c>
      <c r="K13" s="43">
        <v>0</v>
      </c>
      <c r="L13" s="122">
        <v>0</v>
      </c>
      <c r="M13" s="99"/>
    </row>
    <row r="14" spans="1:13" ht="18.75" customHeight="1">
      <c r="A14" s="1104"/>
      <c r="B14" s="961"/>
      <c r="C14" s="1089" t="s">
        <v>294</v>
      </c>
      <c r="D14" s="1094"/>
      <c r="E14" s="1090"/>
      <c r="F14" s="16">
        <f t="shared" si="0"/>
        <v>273</v>
      </c>
      <c r="G14" s="16">
        <f t="shared" si="1"/>
        <v>273</v>
      </c>
      <c r="H14" s="43">
        <v>40</v>
      </c>
      <c r="I14" s="43">
        <v>233</v>
      </c>
      <c r="J14" s="43">
        <v>0</v>
      </c>
      <c r="K14" s="43">
        <v>0</v>
      </c>
      <c r="L14" s="122">
        <v>0</v>
      </c>
      <c r="M14" s="99"/>
    </row>
    <row r="15" spans="1:13" ht="18.75" customHeight="1" thickBot="1">
      <c r="A15" s="1105"/>
      <c r="B15" s="970"/>
      <c r="C15" s="1095" t="s">
        <v>118</v>
      </c>
      <c r="D15" s="1096"/>
      <c r="E15" s="1097"/>
      <c r="F15" s="35">
        <f t="shared" si="0"/>
        <v>0</v>
      </c>
      <c r="G15" s="35">
        <f t="shared" si="1"/>
        <v>0</v>
      </c>
      <c r="H15" s="123">
        <v>0</v>
      </c>
      <c r="I15" s="123">
        <v>0</v>
      </c>
      <c r="J15" s="43">
        <v>0</v>
      </c>
      <c r="K15" s="123">
        <v>0</v>
      </c>
      <c r="L15" s="907">
        <v>0</v>
      </c>
      <c r="M15" s="99"/>
    </row>
    <row r="16" spans="1:13" ht="18.75" customHeight="1" thickTop="1">
      <c r="A16" s="1098" t="s">
        <v>126</v>
      </c>
      <c r="B16" s="1100" t="s">
        <v>109</v>
      </c>
      <c r="C16" s="1101"/>
      <c r="D16" s="1101"/>
      <c r="E16" s="1102"/>
      <c r="F16" s="228">
        <f>ROUND(F5*1000/$L$2,0)</f>
        <v>3195153</v>
      </c>
      <c r="G16" s="228">
        <f aca="true" t="shared" si="2" ref="G16:L16">ROUND(G5*1000/$L$2,0)</f>
        <v>3195153</v>
      </c>
      <c r="H16" s="234">
        <f t="shared" si="2"/>
        <v>13502</v>
      </c>
      <c r="I16" s="234">
        <f t="shared" si="2"/>
        <v>3181651</v>
      </c>
      <c r="J16" s="234">
        <f t="shared" si="2"/>
        <v>0</v>
      </c>
      <c r="K16" s="234">
        <f t="shared" si="2"/>
        <v>0</v>
      </c>
      <c r="L16" s="235">
        <f t="shared" si="2"/>
        <v>0</v>
      </c>
      <c r="M16" s="99"/>
    </row>
    <row r="17" spans="1:12" ht="18.75" customHeight="1">
      <c r="A17" s="1098"/>
      <c r="B17" s="960"/>
      <c r="C17" s="1089" t="s">
        <v>110</v>
      </c>
      <c r="D17" s="1094"/>
      <c r="E17" s="1090"/>
      <c r="F17" s="49">
        <f aca="true" t="shared" si="3" ref="F17:L17">ROUND(F6*1000/$L$2,0)</f>
        <v>3194227</v>
      </c>
      <c r="G17" s="49">
        <f t="shared" si="3"/>
        <v>3194227</v>
      </c>
      <c r="H17" s="49">
        <f t="shared" si="3"/>
        <v>13366</v>
      </c>
      <c r="I17" s="49">
        <f t="shared" si="3"/>
        <v>3180861</v>
      </c>
      <c r="J17" s="49">
        <f t="shared" si="3"/>
        <v>0</v>
      </c>
      <c r="K17" s="49">
        <f t="shared" si="3"/>
        <v>0</v>
      </c>
      <c r="L17" s="57">
        <f t="shared" si="3"/>
        <v>0</v>
      </c>
    </row>
    <row r="18" spans="1:12" ht="18.75" customHeight="1">
      <c r="A18" s="1098"/>
      <c r="B18" s="961"/>
      <c r="C18" s="960"/>
      <c r="D18" s="1089" t="s">
        <v>111</v>
      </c>
      <c r="E18" s="1090"/>
      <c r="F18" s="49">
        <f aca="true" t="shared" si="4" ref="F18:L18">ROUND(F7*1000/$L$2,0)</f>
        <v>3078559</v>
      </c>
      <c r="G18" s="49">
        <f t="shared" si="4"/>
        <v>3078559</v>
      </c>
      <c r="H18" s="49">
        <f t="shared" si="4"/>
        <v>0</v>
      </c>
      <c r="I18" s="49">
        <f t="shared" si="4"/>
        <v>3078559</v>
      </c>
      <c r="J18" s="49">
        <f t="shared" si="4"/>
        <v>0</v>
      </c>
      <c r="K18" s="49">
        <f t="shared" si="4"/>
        <v>0</v>
      </c>
      <c r="L18" s="57">
        <f t="shared" si="4"/>
        <v>0</v>
      </c>
    </row>
    <row r="19" spans="1:12" ht="18.75" customHeight="1">
      <c r="A19" s="1098"/>
      <c r="B19" s="961"/>
      <c r="C19" s="961"/>
      <c r="D19" s="960"/>
      <c r="E19" s="50" t="s">
        <v>281</v>
      </c>
      <c r="F19" s="49">
        <f aca="true" t="shared" si="5" ref="F19:L19">ROUND(F8*1000/$L$2,0)</f>
        <v>2063373</v>
      </c>
      <c r="G19" s="49">
        <f t="shared" si="5"/>
        <v>2063373</v>
      </c>
      <c r="H19" s="49">
        <f t="shared" si="5"/>
        <v>0</v>
      </c>
      <c r="I19" s="49">
        <f t="shared" si="5"/>
        <v>2063373</v>
      </c>
      <c r="J19" s="49">
        <f t="shared" si="5"/>
        <v>0</v>
      </c>
      <c r="K19" s="49">
        <f t="shared" si="5"/>
        <v>0</v>
      </c>
      <c r="L19" s="57">
        <f t="shared" si="5"/>
        <v>0</v>
      </c>
    </row>
    <row r="20" spans="1:12" ht="18.75" customHeight="1">
      <c r="A20" s="1098"/>
      <c r="B20" s="961"/>
      <c r="C20" s="961"/>
      <c r="D20" s="966"/>
      <c r="E20" s="11" t="s">
        <v>112</v>
      </c>
      <c r="F20" s="49">
        <f aca="true" t="shared" si="6" ref="F20:L20">ROUND(F9*1000/$L$2,0)</f>
        <v>1015186</v>
      </c>
      <c r="G20" s="49">
        <f t="shared" si="6"/>
        <v>1015186</v>
      </c>
      <c r="H20" s="49">
        <f t="shared" si="6"/>
        <v>0</v>
      </c>
      <c r="I20" s="49">
        <f t="shared" si="6"/>
        <v>1015186</v>
      </c>
      <c r="J20" s="49">
        <f t="shared" si="6"/>
        <v>0</v>
      </c>
      <c r="K20" s="49">
        <f t="shared" si="6"/>
        <v>0</v>
      </c>
      <c r="L20" s="57">
        <f t="shared" si="6"/>
        <v>0</v>
      </c>
    </row>
    <row r="21" spans="1:12" ht="18.75" customHeight="1">
      <c r="A21" s="1098"/>
      <c r="B21" s="961"/>
      <c r="C21" s="961"/>
      <c r="D21" s="1089" t="s">
        <v>113</v>
      </c>
      <c r="E21" s="1090"/>
      <c r="F21" s="49">
        <f aca="true" t="shared" si="7" ref="F21:L21">ROUND(F10*1000/$L$2,0)</f>
        <v>23102</v>
      </c>
      <c r="G21" s="49">
        <f t="shared" si="7"/>
        <v>23102</v>
      </c>
      <c r="H21" s="49">
        <f t="shared" si="7"/>
        <v>0</v>
      </c>
      <c r="I21" s="49">
        <f t="shared" si="7"/>
        <v>23102</v>
      </c>
      <c r="J21" s="49">
        <f t="shared" si="7"/>
        <v>0</v>
      </c>
      <c r="K21" s="49">
        <f t="shared" si="7"/>
        <v>0</v>
      </c>
      <c r="L21" s="57">
        <f t="shared" si="7"/>
        <v>0</v>
      </c>
    </row>
    <row r="22" spans="1:12" ht="18.75" customHeight="1">
      <c r="A22" s="1098"/>
      <c r="B22" s="961"/>
      <c r="C22" s="961"/>
      <c r="D22" s="1089" t="s">
        <v>114</v>
      </c>
      <c r="E22" s="1090"/>
      <c r="F22" s="49">
        <f aca="true" t="shared" si="8" ref="F22:L22">ROUND(F11*1000/$L$2,0)</f>
        <v>17851</v>
      </c>
      <c r="G22" s="49">
        <f t="shared" si="8"/>
        <v>17851</v>
      </c>
      <c r="H22" s="49">
        <f t="shared" si="8"/>
        <v>0</v>
      </c>
      <c r="I22" s="49">
        <f t="shared" si="8"/>
        <v>17851</v>
      </c>
      <c r="J22" s="49">
        <f t="shared" si="8"/>
        <v>0</v>
      </c>
      <c r="K22" s="49">
        <f t="shared" si="8"/>
        <v>0</v>
      </c>
      <c r="L22" s="57">
        <f t="shared" si="8"/>
        <v>0</v>
      </c>
    </row>
    <row r="23" spans="1:12" ht="18.75" customHeight="1">
      <c r="A23" s="1098"/>
      <c r="B23" s="961"/>
      <c r="C23" s="961"/>
      <c r="D23" s="1089" t="s">
        <v>115</v>
      </c>
      <c r="E23" s="1090"/>
      <c r="F23" s="49">
        <f aca="true" t="shared" si="9" ref="F23:L23">ROUND(F12*1000/$L$2,0)</f>
        <v>71868</v>
      </c>
      <c r="G23" s="49">
        <f t="shared" si="9"/>
        <v>71868</v>
      </c>
      <c r="H23" s="49">
        <f t="shared" si="9"/>
        <v>13366</v>
      </c>
      <c r="I23" s="49">
        <f t="shared" si="9"/>
        <v>58502</v>
      </c>
      <c r="J23" s="49">
        <f t="shared" si="9"/>
        <v>0</v>
      </c>
      <c r="K23" s="49">
        <f t="shared" si="9"/>
        <v>0</v>
      </c>
      <c r="L23" s="57">
        <f t="shared" si="9"/>
        <v>0</v>
      </c>
    </row>
    <row r="24" spans="1:12" ht="18.75" customHeight="1">
      <c r="A24" s="1098"/>
      <c r="B24" s="961"/>
      <c r="C24" s="966"/>
      <c r="D24" s="1089" t="s">
        <v>116</v>
      </c>
      <c r="E24" s="1090"/>
      <c r="F24" s="49">
        <f aca="true" t="shared" si="10" ref="F24:L24">ROUND(F13*1000/$L$2,0)</f>
        <v>2847</v>
      </c>
      <c r="G24" s="49">
        <f t="shared" si="10"/>
        <v>2847</v>
      </c>
      <c r="H24" s="49">
        <f t="shared" si="10"/>
        <v>0</v>
      </c>
      <c r="I24" s="49">
        <f t="shared" si="10"/>
        <v>2847</v>
      </c>
      <c r="J24" s="49">
        <f t="shared" si="10"/>
        <v>0</v>
      </c>
      <c r="K24" s="49">
        <f t="shared" si="10"/>
        <v>0</v>
      </c>
      <c r="L24" s="57">
        <f t="shared" si="10"/>
        <v>0</v>
      </c>
    </row>
    <row r="25" spans="1:12" ht="18.75" customHeight="1">
      <c r="A25" s="1098"/>
      <c r="B25" s="961"/>
      <c r="C25" s="1089" t="s">
        <v>117</v>
      </c>
      <c r="D25" s="1094"/>
      <c r="E25" s="1090"/>
      <c r="F25" s="49">
        <f aca="true" t="shared" si="11" ref="F25:L25">ROUND(F14*1000/$L$2,0)</f>
        <v>925</v>
      </c>
      <c r="G25" s="49">
        <f t="shared" si="11"/>
        <v>925</v>
      </c>
      <c r="H25" s="49">
        <f t="shared" si="11"/>
        <v>136</v>
      </c>
      <c r="I25" s="49">
        <f t="shared" si="11"/>
        <v>790</v>
      </c>
      <c r="J25" s="49">
        <f t="shared" si="11"/>
        <v>0</v>
      </c>
      <c r="K25" s="49">
        <f t="shared" si="11"/>
        <v>0</v>
      </c>
      <c r="L25" s="57">
        <f t="shared" si="11"/>
        <v>0</v>
      </c>
    </row>
    <row r="26" spans="1:12" ht="18.75" customHeight="1" thickBot="1">
      <c r="A26" s="1099"/>
      <c r="B26" s="962"/>
      <c r="C26" s="1091" t="s">
        <v>118</v>
      </c>
      <c r="D26" s="1092"/>
      <c r="E26" s="1093"/>
      <c r="F26" s="41">
        <f aca="true" t="shared" si="12" ref="F26:L26">ROUND(F15*1000/$L$2,0)</f>
        <v>0</v>
      </c>
      <c r="G26" s="41">
        <f t="shared" si="12"/>
        <v>0</v>
      </c>
      <c r="H26" s="41">
        <f t="shared" si="12"/>
        <v>0</v>
      </c>
      <c r="I26" s="41">
        <f t="shared" si="12"/>
        <v>0</v>
      </c>
      <c r="J26" s="41">
        <f t="shared" si="12"/>
        <v>0</v>
      </c>
      <c r="K26" s="41">
        <f t="shared" si="12"/>
        <v>0</v>
      </c>
      <c r="L26" s="42">
        <f t="shared" si="12"/>
        <v>0</v>
      </c>
    </row>
    <row r="27" ht="19.5" customHeight="1">
      <c r="A27" s="7" t="s">
        <v>120</v>
      </c>
    </row>
  </sheetData>
  <sheetProtection/>
  <mergeCells count="32">
    <mergeCell ref="K3:K4"/>
    <mergeCell ref="L3:L4"/>
    <mergeCell ref="A1:H1"/>
    <mergeCell ref="A3:E4"/>
    <mergeCell ref="F3:F4"/>
    <mergeCell ref="G3:J3"/>
    <mergeCell ref="A5:A15"/>
    <mergeCell ref="B5:E5"/>
    <mergeCell ref="B6:B15"/>
    <mergeCell ref="C6:E6"/>
    <mergeCell ref="C7:C13"/>
    <mergeCell ref="D7:E7"/>
    <mergeCell ref="D8:D9"/>
    <mergeCell ref="D10:E10"/>
    <mergeCell ref="D11:E11"/>
    <mergeCell ref="D12:E12"/>
    <mergeCell ref="D13:E13"/>
    <mergeCell ref="C14:E14"/>
    <mergeCell ref="C15:E15"/>
    <mergeCell ref="A16:A26"/>
    <mergeCell ref="B16:E16"/>
    <mergeCell ref="B17:B26"/>
    <mergeCell ref="C17:E17"/>
    <mergeCell ref="C18:C24"/>
    <mergeCell ref="D18:E18"/>
    <mergeCell ref="D19:D20"/>
    <mergeCell ref="D21:E21"/>
    <mergeCell ref="C26:E26"/>
    <mergeCell ref="D22:E22"/>
    <mergeCell ref="D23:E23"/>
    <mergeCell ref="D24:E24"/>
    <mergeCell ref="C25:E25"/>
  </mergeCells>
  <printOptions/>
  <pageMargins left="0.75" right="0.75" top="1" bottom="1" header="0.512" footer="0.512"/>
  <pageSetup fitToHeight="1" fitToWidth="1" horizontalDpi="300" verticalDpi="300" orientation="landscape"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L2" sqref="L2"/>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6384" width="9.00390625" style="7" customWidth="1"/>
  </cols>
  <sheetData>
    <row r="1" spans="1:8" ht="21" customHeight="1">
      <c r="A1" s="1112" t="s">
        <v>129</v>
      </c>
      <c r="B1" s="1112"/>
      <c r="C1" s="1112"/>
      <c r="D1" s="1112"/>
      <c r="E1" s="1112"/>
      <c r="F1" s="1112"/>
      <c r="G1" s="1112"/>
      <c r="H1" s="1112"/>
    </row>
    <row r="2" spans="11:12" ht="21" customHeight="1" thickBot="1">
      <c r="K2" s="52" t="s">
        <v>125</v>
      </c>
      <c r="L2" s="908">
        <v>454</v>
      </c>
    </row>
    <row r="3" spans="1:12" ht="16.5" customHeight="1">
      <c r="A3" s="1113" t="s">
        <v>106</v>
      </c>
      <c r="B3" s="1114"/>
      <c r="C3" s="1114"/>
      <c r="D3" s="1114"/>
      <c r="E3" s="1115"/>
      <c r="F3" s="1055" t="s">
        <v>28</v>
      </c>
      <c r="G3" s="1050" t="s">
        <v>93</v>
      </c>
      <c r="H3" s="1051"/>
      <c r="I3" s="1051"/>
      <c r="J3" s="1051"/>
      <c r="K3" s="1055" t="s">
        <v>107</v>
      </c>
      <c r="L3" s="1110" t="s">
        <v>264</v>
      </c>
    </row>
    <row r="4" spans="1:12" ht="33" customHeight="1" thickBot="1">
      <c r="A4" s="1116"/>
      <c r="B4" s="1117"/>
      <c r="C4" s="1117"/>
      <c r="D4" s="1117"/>
      <c r="E4" s="1118"/>
      <c r="F4" s="1109"/>
      <c r="G4" s="53" t="s">
        <v>108</v>
      </c>
      <c r="H4" s="46" t="s">
        <v>268</v>
      </c>
      <c r="I4" s="181" t="s">
        <v>263</v>
      </c>
      <c r="J4" s="182" t="s">
        <v>269</v>
      </c>
      <c r="K4" s="1109"/>
      <c r="L4" s="1111"/>
    </row>
    <row r="5" spans="1:12" ht="18.75" customHeight="1">
      <c r="A5" s="1103" t="s">
        <v>27</v>
      </c>
      <c r="B5" s="1106" t="s">
        <v>109</v>
      </c>
      <c r="C5" s="1107"/>
      <c r="D5" s="1107"/>
      <c r="E5" s="1108"/>
      <c r="F5" s="230">
        <f>G5+K5+L5</f>
        <v>168970</v>
      </c>
      <c r="G5" s="230">
        <f>SUM(H5:J5)</f>
        <v>168970</v>
      </c>
      <c r="H5" s="230">
        <f>H6+H14+H15</f>
        <v>1272</v>
      </c>
      <c r="I5" s="230">
        <f>I6+I14+I15</f>
        <v>167698</v>
      </c>
      <c r="J5" s="230">
        <f>J6+J14+J15</f>
        <v>0</v>
      </c>
      <c r="K5" s="230">
        <f>K6+K14+K15</f>
        <v>0</v>
      </c>
      <c r="L5" s="231">
        <f>L6+L14+L15</f>
        <v>0</v>
      </c>
    </row>
    <row r="6" spans="1:12" ht="18.75" customHeight="1">
      <c r="A6" s="1104"/>
      <c r="B6" s="960"/>
      <c r="C6" s="1089" t="s">
        <v>110</v>
      </c>
      <c r="D6" s="1094"/>
      <c r="E6" s="1090"/>
      <c r="F6" s="16">
        <f aca="true" t="shared" si="0" ref="F6:F15">G6+K6+L6</f>
        <v>168970</v>
      </c>
      <c r="G6" s="16">
        <f aca="true" t="shared" si="1" ref="G6:G15">SUM(H6:J6)</f>
        <v>168970</v>
      </c>
      <c r="H6" s="16">
        <f>H7+SUM(H10:H13)</f>
        <v>1272</v>
      </c>
      <c r="I6" s="16">
        <f>I7+SUM(I10:I13)</f>
        <v>167698</v>
      </c>
      <c r="J6" s="16">
        <f>J7+SUM(J10:J13)</f>
        <v>0</v>
      </c>
      <c r="K6" s="16">
        <f>K7+SUM(K10:K13)</f>
        <v>0</v>
      </c>
      <c r="L6" s="18">
        <f>L7+SUM(L10:L13)</f>
        <v>0</v>
      </c>
    </row>
    <row r="7" spans="1:12" ht="18.75" customHeight="1">
      <c r="A7" s="1104"/>
      <c r="B7" s="961"/>
      <c r="C7" s="960"/>
      <c r="D7" s="1089" t="s">
        <v>111</v>
      </c>
      <c r="E7" s="1090"/>
      <c r="F7" s="16">
        <f t="shared" si="0"/>
        <v>157560</v>
      </c>
      <c r="G7" s="16">
        <f t="shared" si="1"/>
        <v>157560</v>
      </c>
      <c r="H7" s="43">
        <v>0</v>
      </c>
      <c r="I7" s="43">
        <v>157560</v>
      </c>
      <c r="J7" s="43">
        <f>J8+J9</f>
        <v>0</v>
      </c>
      <c r="K7" s="43">
        <f>K8+K9</f>
        <v>0</v>
      </c>
      <c r="L7" s="122">
        <f>L8+L9</f>
        <v>0</v>
      </c>
    </row>
    <row r="8" spans="1:12" ht="18.75" customHeight="1">
      <c r="A8" s="1104"/>
      <c r="B8" s="961"/>
      <c r="C8" s="961"/>
      <c r="D8" s="960"/>
      <c r="E8" s="50" t="s">
        <v>280</v>
      </c>
      <c r="F8" s="16">
        <f t="shared" si="0"/>
        <v>107618</v>
      </c>
      <c r="G8" s="16">
        <f t="shared" si="1"/>
        <v>107618</v>
      </c>
      <c r="H8" s="43">
        <v>0</v>
      </c>
      <c r="I8" s="43">
        <v>107618</v>
      </c>
      <c r="J8" s="43">
        <v>0</v>
      </c>
      <c r="K8" s="43">
        <v>0</v>
      </c>
      <c r="L8" s="122">
        <v>0</v>
      </c>
    </row>
    <row r="9" spans="1:12" ht="18.75" customHeight="1">
      <c r="A9" s="1104"/>
      <c r="B9" s="961"/>
      <c r="C9" s="961"/>
      <c r="D9" s="966"/>
      <c r="E9" s="11" t="s">
        <v>112</v>
      </c>
      <c r="F9" s="16">
        <f t="shared" si="0"/>
        <v>49942</v>
      </c>
      <c r="G9" s="16">
        <f t="shared" si="1"/>
        <v>49942</v>
      </c>
      <c r="H9" s="43">
        <f>H7-H8</f>
        <v>0</v>
      </c>
      <c r="I9" s="43">
        <f>I7-I8</f>
        <v>49942</v>
      </c>
      <c r="J9" s="43">
        <v>0</v>
      </c>
      <c r="K9" s="43">
        <v>0</v>
      </c>
      <c r="L9" s="122">
        <v>0</v>
      </c>
    </row>
    <row r="10" spans="1:12" ht="18.75" customHeight="1">
      <c r="A10" s="1104"/>
      <c r="B10" s="961"/>
      <c r="C10" s="961"/>
      <c r="D10" s="1089" t="s">
        <v>113</v>
      </c>
      <c r="E10" s="1090"/>
      <c r="F10" s="16">
        <f>G10+K10+L10</f>
        <v>3498</v>
      </c>
      <c r="G10" s="16">
        <f t="shared" si="1"/>
        <v>3498</v>
      </c>
      <c r="H10" s="43">
        <v>0</v>
      </c>
      <c r="I10" s="43">
        <v>3498</v>
      </c>
      <c r="J10" s="43">
        <v>0</v>
      </c>
      <c r="K10" s="43">
        <v>0</v>
      </c>
      <c r="L10" s="122">
        <v>0</v>
      </c>
    </row>
    <row r="11" spans="1:12" ht="18.75" customHeight="1">
      <c r="A11" s="1104"/>
      <c r="B11" s="961"/>
      <c r="C11" s="961"/>
      <c r="D11" s="1089" t="s">
        <v>114</v>
      </c>
      <c r="E11" s="1090"/>
      <c r="F11" s="16">
        <f t="shared" si="0"/>
        <v>495</v>
      </c>
      <c r="G11" s="16">
        <f t="shared" si="1"/>
        <v>495</v>
      </c>
      <c r="H11" s="43">
        <v>0</v>
      </c>
      <c r="I11" s="43">
        <v>495</v>
      </c>
      <c r="J11" s="43">
        <v>0</v>
      </c>
      <c r="K11" s="43">
        <v>0</v>
      </c>
      <c r="L11" s="122">
        <v>0</v>
      </c>
    </row>
    <row r="12" spans="1:12" ht="18.75" customHeight="1">
      <c r="A12" s="1104"/>
      <c r="B12" s="961"/>
      <c r="C12" s="961"/>
      <c r="D12" s="1089" t="s">
        <v>115</v>
      </c>
      <c r="E12" s="1090"/>
      <c r="F12" s="16">
        <f t="shared" si="0"/>
        <v>7239</v>
      </c>
      <c r="G12" s="16">
        <f t="shared" si="1"/>
        <v>7239</v>
      </c>
      <c r="H12" s="43">
        <v>1272</v>
      </c>
      <c r="I12" s="43">
        <v>5967</v>
      </c>
      <c r="J12" s="43">
        <v>0</v>
      </c>
      <c r="K12" s="43">
        <v>0</v>
      </c>
      <c r="L12" s="122">
        <v>0</v>
      </c>
    </row>
    <row r="13" spans="1:12" ht="18.75" customHeight="1">
      <c r="A13" s="1104"/>
      <c r="B13" s="961"/>
      <c r="C13" s="966"/>
      <c r="D13" s="1089" t="s">
        <v>116</v>
      </c>
      <c r="E13" s="1090"/>
      <c r="F13" s="16">
        <f t="shared" si="0"/>
        <v>178</v>
      </c>
      <c r="G13" s="16">
        <f t="shared" si="1"/>
        <v>178</v>
      </c>
      <c r="H13" s="43">
        <v>0</v>
      </c>
      <c r="I13" s="43">
        <v>178</v>
      </c>
      <c r="J13" s="43">
        <v>0</v>
      </c>
      <c r="K13" s="43">
        <v>0</v>
      </c>
      <c r="L13" s="122">
        <v>0</v>
      </c>
    </row>
    <row r="14" spans="1:12" ht="18.75" customHeight="1">
      <c r="A14" s="1104"/>
      <c r="B14" s="961"/>
      <c r="C14" s="1089" t="s">
        <v>117</v>
      </c>
      <c r="D14" s="1094"/>
      <c r="E14" s="1090"/>
      <c r="F14" s="16">
        <f t="shared" si="0"/>
        <v>0</v>
      </c>
      <c r="G14" s="16">
        <f t="shared" si="1"/>
        <v>0</v>
      </c>
      <c r="H14" s="43">
        <v>0</v>
      </c>
      <c r="I14" s="43">
        <v>0</v>
      </c>
      <c r="J14" s="43">
        <v>0</v>
      </c>
      <c r="K14" s="43">
        <v>0</v>
      </c>
      <c r="L14" s="122">
        <v>0</v>
      </c>
    </row>
    <row r="15" spans="1:12" ht="18.75" customHeight="1" thickBot="1">
      <c r="A15" s="1105"/>
      <c r="B15" s="970"/>
      <c r="C15" s="1095" t="s">
        <v>118</v>
      </c>
      <c r="D15" s="1096"/>
      <c r="E15" s="1097"/>
      <c r="F15" s="35">
        <f t="shared" si="0"/>
        <v>0</v>
      </c>
      <c r="G15" s="35">
        <f t="shared" si="1"/>
        <v>0</v>
      </c>
      <c r="H15" s="123">
        <v>0</v>
      </c>
      <c r="I15" s="123">
        <v>0</v>
      </c>
      <c r="J15" s="123">
        <v>0</v>
      </c>
      <c r="K15" s="123">
        <v>0</v>
      </c>
      <c r="L15" s="907">
        <v>0</v>
      </c>
    </row>
    <row r="16" spans="1:12" ht="18.75" customHeight="1" thickTop="1">
      <c r="A16" s="1098" t="s">
        <v>126</v>
      </c>
      <c r="B16" s="1100" t="s">
        <v>109</v>
      </c>
      <c r="C16" s="1101"/>
      <c r="D16" s="1101"/>
      <c r="E16" s="1102"/>
      <c r="F16" s="228">
        <f>ROUND(F5*1000/$L$2,0)</f>
        <v>372181</v>
      </c>
      <c r="G16" s="228">
        <f aca="true" t="shared" si="2" ref="G16:L16">ROUND(G5*1000/$L$2,0)</f>
        <v>372181</v>
      </c>
      <c r="H16" s="228">
        <f t="shared" si="2"/>
        <v>2802</v>
      </c>
      <c r="I16" s="228">
        <f t="shared" si="2"/>
        <v>369379</v>
      </c>
      <c r="J16" s="228">
        <f t="shared" si="2"/>
        <v>0</v>
      </c>
      <c r="K16" s="228">
        <f t="shared" si="2"/>
        <v>0</v>
      </c>
      <c r="L16" s="229">
        <f t="shared" si="2"/>
        <v>0</v>
      </c>
    </row>
    <row r="17" spans="1:12" ht="18.75" customHeight="1">
      <c r="A17" s="1098"/>
      <c r="B17" s="960"/>
      <c r="C17" s="1089" t="s">
        <v>110</v>
      </c>
      <c r="D17" s="1094"/>
      <c r="E17" s="1090"/>
      <c r="F17" s="49">
        <f aca="true" t="shared" si="3" ref="F17:L17">ROUND(F6*1000/$L$2,0)</f>
        <v>372181</v>
      </c>
      <c r="G17" s="49">
        <f t="shared" si="3"/>
        <v>372181</v>
      </c>
      <c r="H17" s="49">
        <f t="shared" si="3"/>
        <v>2802</v>
      </c>
      <c r="I17" s="49">
        <f t="shared" si="3"/>
        <v>369379</v>
      </c>
      <c r="J17" s="49">
        <f t="shared" si="3"/>
        <v>0</v>
      </c>
      <c r="K17" s="49">
        <f t="shared" si="3"/>
        <v>0</v>
      </c>
      <c r="L17" s="57">
        <f t="shared" si="3"/>
        <v>0</v>
      </c>
    </row>
    <row r="18" spans="1:12" ht="18.75" customHeight="1">
      <c r="A18" s="1098"/>
      <c r="B18" s="961"/>
      <c r="C18" s="960"/>
      <c r="D18" s="1089" t="s">
        <v>111</v>
      </c>
      <c r="E18" s="1090"/>
      <c r="F18" s="49">
        <f aca="true" t="shared" si="4" ref="F18:L18">ROUND(F7*1000/$L$2,0)</f>
        <v>347048</v>
      </c>
      <c r="G18" s="49">
        <f t="shared" si="4"/>
        <v>347048</v>
      </c>
      <c r="H18" s="49">
        <f t="shared" si="4"/>
        <v>0</v>
      </c>
      <c r="I18" s="49">
        <f t="shared" si="4"/>
        <v>347048</v>
      </c>
      <c r="J18" s="49">
        <f t="shared" si="4"/>
        <v>0</v>
      </c>
      <c r="K18" s="49">
        <f t="shared" si="4"/>
        <v>0</v>
      </c>
      <c r="L18" s="57">
        <f t="shared" si="4"/>
        <v>0</v>
      </c>
    </row>
    <row r="19" spans="1:12" ht="18.75" customHeight="1">
      <c r="A19" s="1098"/>
      <c r="B19" s="961"/>
      <c r="C19" s="961"/>
      <c r="D19" s="960"/>
      <c r="E19" s="50" t="s">
        <v>281</v>
      </c>
      <c r="F19" s="49">
        <f aca="true" t="shared" si="5" ref="F19:L19">ROUND(F8*1000/$L$2,0)</f>
        <v>237044</v>
      </c>
      <c r="G19" s="49">
        <f t="shared" si="5"/>
        <v>237044</v>
      </c>
      <c r="H19" s="49">
        <f t="shared" si="5"/>
        <v>0</v>
      </c>
      <c r="I19" s="49">
        <f t="shared" si="5"/>
        <v>237044</v>
      </c>
      <c r="J19" s="49">
        <f t="shared" si="5"/>
        <v>0</v>
      </c>
      <c r="K19" s="49">
        <f t="shared" si="5"/>
        <v>0</v>
      </c>
      <c r="L19" s="57">
        <f t="shared" si="5"/>
        <v>0</v>
      </c>
    </row>
    <row r="20" spans="1:12" ht="18.75" customHeight="1">
      <c r="A20" s="1098"/>
      <c r="B20" s="961"/>
      <c r="C20" s="961"/>
      <c r="D20" s="966"/>
      <c r="E20" s="11" t="s">
        <v>112</v>
      </c>
      <c r="F20" s="49">
        <f aca="true" t="shared" si="6" ref="F20:L20">ROUND(F9*1000/$L$2,0)</f>
        <v>110004</v>
      </c>
      <c r="G20" s="49">
        <f t="shared" si="6"/>
        <v>110004</v>
      </c>
      <c r="H20" s="49">
        <f t="shared" si="6"/>
        <v>0</v>
      </c>
      <c r="I20" s="49">
        <f t="shared" si="6"/>
        <v>110004</v>
      </c>
      <c r="J20" s="49">
        <f t="shared" si="6"/>
        <v>0</v>
      </c>
      <c r="K20" s="49">
        <f t="shared" si="6"/>
        <v>0</v>
      </c>
      <c r="L20" s="57">
        <f t="shared" si="6"/>
        <v>0</v>
      </c>
    </row>
    <row r="21" spans="1:12" ht="18.75" customHeight="1">
      <c r="A21" s="1098"/>
      <c r="B21" s="961"/>
      <c r="C21" s="961"/>
      <c r="D21" s="1089" t="s">
        <v>113</v>
      </c>
      <c r="E21" s="1090"/>
      <c r="F21" s="49">
        <f aca="true" t="shared" si="7" ref="F21:L21">ROUND(F10*1000/$L$2,0)</f>
        <v>7705</v>
      </c>
      <c r="G21" s="49">
        <f t="shared" si="7"/>
        <v>7705</v>
      </c>
      <c r="H21" s="49">
        <f t="shared" si="7"/>
        <v>0</v>
      </c>
      <c r="I21" s="49">
        <f t="shared" si="7"/>
        <v>7705</v>
      </c>
      <c r="J21" s="49">
        <f t="shared" si="7"/>
        <v>0</v>
      </c>
      <c r="K21" s="49">
        <f t="shared" si="7"/>
        <v>0</v>
      </c>
      <c r="L21" s="57">
        <f t="shared" si="7"/>
        <v>0</v>
      </c>
    </row>
    <row r="22" spans="1:12" ht="18.75" customHeight="1">
      <c r="A22" s="1098"/>
      <c r="B22" s="961"/>
      <c r="C22" s="961"/>
      <c r="D22" s="1089" t="s">
        <v>114</v>
      </c>
      <c r="E22" s="1090"/>
      <c r="F22" s="49">
        <f aca="true" t="shared" si="8" ref="F22:L22">ROUND(F11*1000/$L$2,0)</f>
        <v>1090</v>
      </c>
      <c r="G22" s="49">
        <f t="shared" si="8"/>
        <v>1090</v>
      </c>
      <c r="H22" s="49">
        <f t="shared" si="8"/>
        <v>0</v>
      </c>
      <c r="I22" s="49">
        <f t="shared" si="8"/>
        <v>1090</v>
      </c>
      <c r="J22" s="49">
        <f t="shared" si="8"/>
        <v>0</v>
      </c>
      <c r="K22" s="49">
        <f t="shared" si="8"/>
        <v>0</v>
      </c>
      <c r="L22" s="57">
        <f t="shared" si="8"/>
        <v>0</v>
      </c>
    </row>
    <row r="23" spans="1:12" ht="18.75" customHeight="1">
      <c r="A23" s="1098"/>
      <c r="B23" s="961"/>
      <c r="C23" s="961"/>
      <c r="D23" s="1089" t="s">
        <v>115</v>
      </c>
      <c r="E23" s="1090"/>
      <c r="F23" s="49">
        <f aca="true" t="shared" si="9" ref="F23:L23">ROUND(F12*1000/$L$2,0)</f>
        <v>15945</v>
      </c>
      <c r="G23" s="49">
        <f t="shared" si="9"/>
        <v>15945</v>
      </c>
      <c r="H23" s="49">
        <f t="shared" si="9"/>
        <v>2802</v>
      </c>
      <c r="I23" s="49">
        <f t="shared" si="9"/>
        <v>13143</v>
      </c>
      <c r="J23" s="49">
        <f t="shared" si="9"/>
        <v>0</v>
      </c>
      <c r="K23" s="49">
        <f t="shared" si="9"/>
        <v>0</v>
      </c>
      <c r="L23" s="57">
        <f t="shared" si="9"/>
        <v>0</v>
      </c>
    </row>
    <row r="24" spans="1:12" ht="18.75" customHeight="1">
      <c r="A24" s="1098"/>
      <c r="B24" s="961"/>
      <c r="C24" s="966"/>
      <c r="D24" s="1089" t="s">
        <v>116</v>
      </c>
      <c r="E24" s="1090"/>
      <c r="F24" s="49">
        <f aca="true" t="shared" si="10" ref="F24:L24">ROUND(F13*1000/$L$2,0)</f>
        <v>392</v>
      </c>
      <c r="G24" s="49">
        <f t="shared" si="10"/>
        <v>392</v>
      </c>
      <c r="H24" s="49">
        <f t="shared" si="10"/>
        <v>0</v>
      </c>
      <c r="I24" s="49">
        <f t="shared" si="10"/>
        <v>392</v>
      </c>
      <c r="J24" s="49">
        <f t="shared" si="10"/>
        <v>0</v>
      </c>
      <c r="K24" s="49">
        <f t="shared" si="10"/>
        <v>0</v>
      </c>
      <c r="L24" s="57">
        <f t="shared" si="10"/>
        <v>0</v>
      </c>
    </row>
    <row r="25" spans="1:12" ht="18.75" customHeight="1">
      <c r="A25" s="1098"/>
      <c r="B25" s="961"/>
      <c r="C25" s="1089" t="s">
        <v>117</v>
      </c>
      <c r="D25" s="1094"/>
      <c r="E25" s="1090"/>
      <c r="F25" s="49">
        <f aca="true" t="shared" si="11" ref="F25:L25">ROUND(F14*1000/$L$2,0)</f>
        <v>0</v>
      </c>
      <c r="G25" s="49">
        <f t="shared" si="11"/>
        <v>0</v>
      </c>
      <c r="H25" s="49">
        <f t="shared" si="11"/>
        <v>0</v>
      </c>
      <c r="I25" s="49">
        <f t="shared" si="11"/>
        <v>0</v>
      </c>
      <c r="J25" s="49">
        <f t="shared" si="11"/>
        <v>0</v>
      </c>
      <c r="K25" s="49">
        <f t="shared" si="11"/>
        <v>0</v>
      </c>
      <c r="L25" s="57">
        <f t="shared" si="11"/>
        <v>0</v>
      </c>
    </row>
    <row r="26" spans="1:12" ht="18.75" customHeight="1" thickBot="1">
      <c r="A26" s="1099"/>
      <c r="B26" s="962"/>
      <c r="C26" s="1091" t="s">
        <v>118</v>
      </c>
      <c r="D26" s="1092"/>
      <c r="E26" s="1093"/>
      <c r="F26" s="41">
        <f aca="true" t="shared" si="12" ref="F26:L26">ROUND(F15*1000/$L$2,0)</f>
        <v>0</v>
      </c>
      <c r="G26" s="41">
        <f t="shared" si="12"/>
        <v>0</v>
      </c>
      <c r="H26" s="41">
        <f t="shared" si="12"/>
        <v>0</v>
      </c>
      <c r="I26" s="41">
        <f t="shared" si="12"/>
        <v>0</v>
      </c>
      <c r="J26" s="41">
        <f t="shared" si="12"/>
        <v>0</v>
      </c>
      <c r="K26" s="41">
        <f t="shared" si="12"/>
        <v>0</v>
      </c>
      <c r="L26" s="42">
        <f t="shared" si="12"/>
        <v>0</v>
      </c>
    </row>
    <row r="27" ht="19.5" customHeight="1">
      <c r="A27" s="7" t="s">
        <v>120</v>
      </c>
    </row>
  </sheetData>
  <sheetProtection/>
  <mergeCells count="32">
    <mergeCell ref="K3:K4"/>
    <mergeCell ref="L3:L4"/>
    <mergeCell ref="A1:H1"/>
    <mergeCell ref="A3:E4"/>
    <mergeCell ref="F3:F4"/>
    <mergeCell ref="G3:J3"/>
    <mergeCell ref="A5:A15"/>
    <mergeCell ref="B5:E5"/>
    <mergeCell ref="B6:B15"/>
    <mergeCell ref="C6:E6"/>
    <mergeCell ref="C7:C13"/>
    <mergeCell ref="D7:E7"/>
    <mergeCell ref="D8:D9"/>
    <mergeCell ref="D10:E10"/>
    <mergeCell ref="D11:E11"/>
    <mergeCell ref="D12:E12"/>
    <mergeCell ref="D13:E13"/>
    <mergeCell ref="C14:E14"/>
    <mergeCell ref="C15:E15"/>
    <mergeCell ref="A16:A26"/>
    <mergeCell ref="B16:E16"/>
    <mergeCell ref="B17:B26"/>
    <mergeCell ref="C17:E17"/>
    <mergeCell ref="C18:C24"/>
    <mergeCell ref="D18:E18"/>
    <mergeCell ref="D19:D20"/>
    <mergeCell ref="D21:E21"/>
    <mergeCell ref="C26:E26"/>
    <mergeCell ref="D22:E22"/>
    <mergeCell ref="D23:E23"/>
    <mergeCell ref="D24:E24"/>
    <mergeCell ref="C25:E25"/>
  </mergeCells>
  <printOptions/>
  <pageMargins left="0.75" right="0.75" top="1" bottom="1" header="0.512" footer="0.512"/>
  <pageSetup fitToHeight="1" fitToWidth="1" horizontalDpi="300" verticalDpi="300" orientation="landscape"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A1:M27"/>
  <sheetViews>
    <sheetView zoomScalePageLayoutView="0" workbookViewId="0" topLeftCell="A1">
      <selection activeCell="L2" sqref="L2"/>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6384" width="9.00390625" style="7" customWidth="1"/>
  </cols>
  <sheetData>
    <row r="1" spans="1:8" ht="21" customHeight="1">
      <c r="A1" s="1112" t="s">
        <v>237</v>
      </c>
      <c r="B1" s="1112"/>
      <c r="C1" s="1112"/>
      <c r="D1" s="1112"/>
      <c r="E1" s="1112"/>
      <c r="F1" s="1112"/>
      <c r="G1" s="1112"/>
      <c r="H1" s="1112"/>
    </row>
    <row r="2" spans="11:12" ht="21" customHeight="1" thickBot="1">
      <c r="K2" s="52" t="s">
        <v>125</v>
      </c>
      <c r="L2" s="908">
        <v>2379</v>
      </c>
    </row>
    <row r="3" spans="1:12" ht="16.5" customHeight="1">
      <c r="A3" s="1113" t="s">
        <v>106</v>
      </c>
      <c r="B3" s="1114"/>
      <c r="C3" s="1114"/>
      <c r="D3" s="1114"/>
      <c r="E3" s="1115"/>
      <c r="F3" s="1055" t="s">
        <v>28</v>
      </c>
      <c r="G3" s="1050" t="s">
        <v>93</v>
      </c>
      <c r="H3" s="1051"/>
      <c r="I3" s="1051"/>
      <c r="J3" s="1051"/>
      <c r="K3" s="1055" t="s">
        <v>107</v>
      </c>
      <c r="L3" s="1110" t="s">
        <v>264</v>
      </c>
    </row>
    <row r="4" spans="1:12" ht="33" customHeight="1" thickBot="1">
      <c r="A4" s="1116"/>
      <c r="B4" s="1117"/>
      <c r="C4" s="1117"/>
      <c r="D4" s="1117"/>
      <c r="E4" s="1118"/>
      <c r="F4" s="1109"/>
      <c r="G4" s="53" t="s">
        <v>108</v>
      </c>
      <c r="H4" s="46" t="s">
        <v>268</v>
      </c>
      <c r="I4" s="181" t="s">
        <v>263</v>
      </c>
      <c r="J4" s="182" t="s">
        <v>269</v>
      </c>
      <c r="K4" s="1109"/>
      <c r="L4" s="1111"/>
    </row>
    <row r="5" spans="1:12" ht="18.75" customHeight="1">
      <c r="A5" s="1103" t="s">
        <v>27</v>
      </c>
      <c r="B5" s="1106" t="s">
        <v>109</v>
      </c>
      <c r="C5" s="1107"/>
      <c r="D5" s="1107"/>
      <c r="E5" s="1108"/>
      <c r="F5" s="232">
        <f>G5+K5+L5</f>
        <v>2307137</v>
      </c>
      <c r="G5" s="232">
        <f>SUM(H5:J5)</f>
        <v>2307137</v>
      </c>
      <c r="H5" s="232">
        <f>H6+H14+H15</f>
        <v>168792</v>
      </c>
      <c r="I5" s="232">
        <f>I6+I14+I15</f>
        <v>2138345</v>
      </c>
      <c r="J5" s="232">
        <f>J6+J14+J15</f>
        <v>0</v>
      </c>
      <c r="K5" s="232">
        <f>K6+K14+K15</f>
        <v>0</v>
      </c>
      <c r="L5" s="233">
        <f>L6+L14+L15</f>
        <v>0</v>
      </c>
    </row>
    <row r="6" spans="1:12" ht="18.75" customHeight="1">
      <c r="A6" s="1104"/>
      <c r="B6" s="960"/>
      <c r="C6" s="1089" t="s">
        <v>110</v>
      </c>
      <c r="D6" s="1094"/>
      <c r="E6" s="1090"/>
      <c r="F6" s="43">
        <f aca="true" t="shared" si="0" ref="F6:F15">G6+K6+L6</f>
        <v>2256575</v>
      </c>
      <c r="G6" s="43">
        <f aca="true" t="shared" si="1" ref="G6:G15">SUM(H6:J6)</f>
        <v>2256575</v>
      </c>
      <c r="H6" s="43">
        <f>H7+SUM(H10:H13)</f>
        <v>168625</v>
      </c>
      <c r="I6" s="43">
        <f>I7+SUM(I10:I13)</f>
        <v>2087950</v>
      </c>
      <c r="J6" s="43">
        <f>J7+SUM(J10:J13)</f>
        <v>0</v>
      </c>
      <c r="K6" s="43">
        <f>K7+SUM(K10:K13)</f>
        <v>0</v>
      </c>
      <c r="L6" s="122">
        <f>L7+SUM(L10:L13)</f>
        <v>0</v>
      </c>
    </row>
    <row r="7" spans="1:13" ht="18.75" customHeight="1">
      <c r="A7" s="1104"/>
      <c r="B7" s="961"/>
      <c r="C7" s="960"/>
      <c r="D7" s="1089" t="s">
        <v>111</v>
      </c>
      <c r="E7" s="1090"/>
      <c r="F7" s="43">
        <f t="shared" si="0"/>
        <v>1843591</v>
      </c>
      <c r="G7" s="43">
        <f t="shared" si="1"/>
        <v>1843591</v>
      </c>
      <c r="H7" s="43">
        <v>158753</v>
      </c>
      <c r="I7" s="43">
        <v>1684838</v>
      </c>
      <c r="J7" s="43">
        <f>J8+J9</f>
        <v>0</v>
      </c>
      <c r="K7" s="43">
        <f>K8+K9</f>
        <v>0</v>
      </c>
      <c r="L7" s="122">
        <f>L8+L9</f>
        <v>0</v>
      </c>
      <c r="M7" s="99"/>
    </row>
    <row r="8" spans="1:13" ht="18.75" customHeight="1">
      <c r="A8" s="1104"/>
      <c r="B8" s="961"/>
      <c r="C8" s="961"/>
      <c r="D8" s="960"/>
      <c r="E8" s="50" t="s">
        <v>280</v>
      </c>
      <c r="F8" s="43">
        <f t="shared" si="0"/>
        <v>1249377</v>
      </c>
      <c r="G8" s="43">
        <f t="shared" si="1"/>
        <v>1249377</v>
      </c>
      <c r="H8" s="43">
        <v>143003</v>
      </c>
      <c r="I8" s="43">
        <v>1106374</v>
      </c>
      <c r="J8" s="43">
        <v>0</v>
      </c>
      <c r="K8" s="43">
        <v>0</v>
      </c>
      <c r="L8" s="122">
        <v>0</v>
      </c>
      <c r="M8" s="99"/>
    </row>
    <row r="9" spans="1:13" ht="18.75" customHeight="1">
      <c r="A9" s="1104"/>
      <c r="B9" s="961"/>
      <c r="C9" s="961"/>
      <c r="D9" s="966"/>
      <c r="E9" s="11" t="s">
        <v>112</v>
      </c>
      <c r="F9" s="43">
        <f t="shared" si="0"/>
        <v>594214</v>
      </c>
      <c r="G9" s="43">
        <f t="shared" si="1"/>
        <v>594214</v>
      </c>
      <c r="H9" s="43">
        <f>H7-H8</f>
        <v>15750</v>
      </c>
      <c r="I9" s="43">
        <f>I7-I8</f>
        <v>578464</v>
      </c>
      <c r="J9" s="43">
        <v>0</v>
      </c>
      <c r="K9" s="43">
        <v>0</v>
      </c>
      <c r="L9" s="122">
        <v>0</v>
      </c>
      <c r="M9" s="99"/>
    </row>
    <row r="10" spans="1:13" ht="18.75" customHeight="1">
      <c r="A10" s="1104"/>
      <c r="B10" s="961"/>
      <c r="C10" s="961"/>
      <c r="D10" s="1089" t="s">
        <v>113</v>
      </c>
      <c r="E10" s="1090"/>
      <c r="F10" s="43">
        <f>G10+K10+L10</f>
        <v>30262</v>
      </c>
      <c r="G10" s="43">
        <f t="shared" si="1"/>
        <v>30262</v>
      </c>
      <c r="H10" s="43">
        <v>392</v>
      </c>
      <c r="I10" s="43">
        <v>29870</v>
      </c>
      <c r="J10" s="43">
        <v>0</v>
      </c>
      <c r="K10" s="43">
        <v>0</v>
      </c>
      <c r="L10" s="122">
        <v>0</v>
      </c>
      <c r="M10" s="99"/>
    </row>
    <row r="11" spans="1:13" ht="18.75" customHeight="1">
      <c r="A11" s="1104"/>
      <c r="B11" s="961"/>
      <c r="C11" s="961"/>
      <c r="D11" s="1089" t="s">
        <v>114</v>
      </c>
      <c r="E11" s="1090"/>
      <c r="F11" s="43">
        <f t="shared" si="0"/>
        <v>229104</v>
      </c>
      <c r="G11" s="43">
        <f t="shared" si="1"/>
        <v>229104</v>
      </c>
      <c r="H11" s="43">
        <v>1068</v>
      </c>
      <c r="I11" s="43">
        <v>228036</v>
      </c>
      <c r="J11" s="43">
        <v>0</v>
      </c>
      <c r="K11" s="43">
        <v>0</v>
      </c>
      <c r="L11" s="122">
        <v>0</v>
      </c>
      <c r="M11" s="99"/>
    </row>
    <row r="12" spans="1:13" ht="18.75" customHeight="1">
      <c r="A12" s="1104"/>
      <c r="B12" s="961"/>
      <c r="C12" s="961"/>
      <c r="D12" s="1089" t="s">
        <v>115</v>
      </c>
      <c r="E12" s="1090"/>
      <c r="F12" s="43">
        <f t="shared" si="0"/>
        <v>149162</v>
      </c>
      <c r="G12" s="43">
        <f t="shared" si="1"/>
        <v>149162</v>
      </c>
      <c r="H12" s="43">
        <v>8412</v>
      </c>
      <c r="I12" s="43">
        <v>140750</v>
      </c>
      <c r="J12" s="43">
        <v>0</v>
      </c>
      <c r="K12" s="43">
        <v>0</v>
      </c>
      <c r="L12" s="122">
        <v>0</v>
      </c>
      <c r="M12" s="99"/>
    </row>
    <row r="13" spans="1:13" ht="18.75" customHeight="1">
      <c r="A13" s="1104"/>
      <c r="B13" s="961"/>
      <c r="C13" s="966"/>
      <c r="D13" s="1089" t="s">
        <v>116</v>
      </c>
      <c r="E13" s="1090"/>
      <c r="F13" s="43">
        <f t="shared" si="0"/>
        <v>4456</v>
      </c>
      <c r="G13" s="43">
        <f t="shared" si="1"/>
        <v>4456</v>
      </c>
      <c r="H13" s="43">
        <v>0</v>
      </c>
      <c r="I13" s="43">
        <v>4456</v>
      </c>
      <c r="J13" s="43">
        <v>0</v>
      </c>
      <c r="K13" s="43">
        <v>0</v>
      </c>
      <c r="L13" s="122">
        <v>0</v>
      </c>
      <c r="M13" s="99"/>
    </row>
    <row r="14" spans="1:13" ht="18.75" customHeight="1">
      <c r="A14" s="1104"/>
      <c r="B14" s="961"/>
      <c r="C14" s="1089" t="s">
        <v>117</v>
      </c>
      <c r="D14" s="1094"/>
      <c r="E14" s="1090"/>
      <c r="F14" s="43">
        <f t="shared" si="0"/>
        <v>7997</v>
      </c>
      <c r="G14" s="43">
        <f t="shared" si="1"/>
        <v>7997</v>
      </c>
      <c r="H14" s="43">
        <v>167</v>
      </c>
      <c r="I14" s="43">
        <v>7830</v>
      </c>
      <c r="J14" s="43">
        <v>0</v>
      </c>
      <c r="K14" s="43">
        <v>0</v>
      </c>
      <c r="L14" s="122">
        <v>0</v>
      </c>
      <c r="M14" s="99"/>
    </row>
    <row r="15" spans="1:13" ht="18.75" customHeight="1" thickBot="1">
      <c r="A15" s="1105"/>
      <c r="B15" s="970"/>
      <c r="C15" s="1095" t="s">
        <v>118</v>
      </c>
      <c r="D15" s="1096"/>
      <c r="E15" s="1097"/>
      <c r="F15" s="123">
        <f t="shared" si="0"/>
        <v>42565</v>
      </c>
      <c r="G15" s="123">
        <f t="shared" si="1"/>
        <v>42565</v>
      </c>
      <c r="H15" s="123">
        <v>0</v>
      </c>
      <c r="I15" s="123">
        <v>42565</v>
      </c>
      <c r="J15" s="123">
        <v>0</v>
      </c>
      <c r="K15" s="123">
        <v>0</v>
      </c>
      <c r="L15" s="907">
        <v>0</v>
      </c>
      <c r="M15" s="99"/>
    </row>
    <row r="16" spans="1:13" ht="18.75" customHeight="1" thickTop="1">
      <c r="A16" s="1098" t="s">
        <v>126</v>
      </c>
      <c r="B16" s="1100" t="s">
        <v>109</v>
      </c>
      <c r="C16" s="1101"/>
      <c r="D16" s="1101"/>
      <c r="E16" s="1102"/>
      <c r="F16" s="234">
        <f>ROUND(F5*1000/$L$2,0)</f>
        <v>969793</v>
      </c>
      <c r="G16" s="234">
        <f aca="true" t="shared" si="2" ref="G16:L16">ROUND(G5*1000/$L$2,0)</f>
        <v>969793</v>
      </c>
      <c r="H16" s="234">
        <f t="shared" si="2"/>
        <v>70951</v>
      </c>
      <c r="I16" s="234">
        <f t="shared" si="2"/>
        <v>898842</v>
      </c>
      <c r="J16" s="234">
        <f t="shared" si="2"/>
        <v>0</v>
      </c>
      <c r="K16" s="234">
        <f t="shared" si="2"/>
        <v>0</v>
      </c>
      <c r="L16" s="235">
        <f t="shared" si="2"/>
        <v>0</v>
      </c>
      <c r="M16" s="99"/>
    </row>
    <row r="17" spans="1:13" ht="18.75" customHeight="1">
      <c r="A17" s="1098"/>
      <c r="B17" s="960"/>
      <c r="C17" s="1089" t="s">
        <v>110</v>
      </c>
      <c r="D17" s="1094"/>
      <c r="E17" s="1090"/>
      <c r="F17" s="43">
        <f aca="true" t="shared" si="3" ref="F17:L17">ROUND(F6*1000/$L$2,0)</f>
        <v>948539</v>
      </c>
      <c r="G17" s="43">
        <f t="shared" si="3"/>
        <v>948539</v>
      </c>
      <c r="H17" s="43">
        <f t="shared" si="3"/>
        <v>70881</v>
      </c>
      <c r="I17" s="43">
        <f t="shared" si="3"/>
        <v>877659</v>
      </c>
      <c r="J17" s="43">
        <f t="shared" si="3"/>
        <v>0</v>
      </c>
      <c r="K17" s="43">
        <f t="shared" si="3"/>
        <v>0</v>
      </c>
      <c r="L17" s="122">
        <f t="shared" si="3"/>
        <v>0</v>
      </c>
      <c r="M17" s="99"/>
    </row>
    <row r="18" spans="1:12" ht="18.75" customHeight="1">
      <c r="A18" s="1098"/>
      <c r="B18" s="961"/>
      <c r="C18" s="960"/>
      <c r="D18" s="1089" t="s">
        <v>111</v>
      </c>
      <c r="E18" s="1090"/>
      <c r="F18" s="43">
        <f aca="true" t="shared" si="4" ref="F18:L18">ROUND(F7*1000/$L$2,0)</f>
        <v>774944</v>
      </c>
      <c r="G18" s="43">
        <f t="shared" si="4"/>
        <v>774944</v>
      </c>
      <c r="H18" s="43">
        <f t="shared" si="4"/>
        <v>66731</v>
      </c>
      <c r="I18" s="43">
        <f t="shared" si="4"/>
        <v>708213</v>
      </c>
      <c r="J18" s="43">
        <f t="shared" si="4"/>
        <v>0</v>
      </c>
      <c r="K18" s="43">
        <f t="shared" si="4"/>
        <v>0</v>
      </c>
      <c r="L18" s="122">
        <f t="shared" si="4"/>
        <v>0</v>
      </c>
    </row>
    <row r="19" spans="1:12" ht="18.75" customHeight="1">
      <c r="A19" s="1098"/>
      <c r="B19" s="961"/>
      <c r="C19" s="961"/>
      <c r="D19" s="960"/>
      <c r="E19" s="50" t="s">
        <v>281</v>
      </c>
      <c r="F19" s="43">
        <f aca="true" t="shared" si="5" ref="F19:L19">ROUND(F8*1000/$L$2,0)</f>
        <v>525169</v>
      </c>
      <c r="G19" s="43">
        <f t="shared" si="5"/>
        <v>525169</v>
      </c>
      <c r="H19" s="43">
        <f t="shared" si="5"/>
        <v>60111</v>
      </c>
      <c r="I19" s="43">
        <f t="shared" si="5"/>
        <v>465058</v>
      </c>
      <c r="J19" s="43">
        <f t="shared" si="5"/>
        <v>0</v>
      </c>
      <c r="K19" s="43">
        <f t="shared" si="5"/>
        <v>0</v>
      </c>
      <c r="L19" s="122">
        <f t="shared" si="5"/>
        <v>0</v>
      </c>
    </row>
    <row r="20" spans="1:12" ht="18.75" customHeight="1">
      <c r="A20" s="1098"/>
      <c r="B20" s="961"/>
      <c r="C20" s="961"/>
      <c r="D20" s="966"/>
      <c r="E20" s="11" t="s">
        <v>112</v>
      </c>
      <c r="F20" s="43">
        <f aca="true" t="shared" si="6" ref="F20:L20">ROUND(F9*1000/$L$2,0)</f>
        <v>249775</v>
      </c>
      <c r="G20" s="43">
        <f t="shared" si="6"/>
        <v>249775</v>
      </c>
      <c r="H20" s="43">
        <f t="shared" si="6"/>
        <v>6620</v>
      </c>
      <c r="I20" s="43">
        <f t="shared" si="6"/>
        <v>243154</v>
      </c>
      <c r="J20" s="43">
        <f t="shared" si="6"/>
        <v>0</v>
      </c>
      <c r="K20" s="43">
        <f t="shared" si="6"/>
        <v>0</v>
      </c>
      <c r="L20" s="122">
        <f t="shared" si="6"/>
        <v>0</v>
      </c>
    </row>
    <row r="21" spans="1:12" ht="18.75" customHeight="1">
      <c r="A21" s="1098"/>
      <c r="B21" s="961"/>
      <c r="C21" s="961"/>
      <c r="D21" s="1089" t="s">
        <v>113</v>
      </c>
      <c r="E21" s="1090"/>
      <c r="F21" s="43">
        <f aca="true" t="shared" si="7" ref="F21:L21">ROUND(F10*1000/$L$2,0)</f>
        <v>12720</v>
      </c>
      <c r="G21" s="43">
        <f t="shared" si="7"/>
        <v>12720</v>
      </c>
      <c r="H21" s="43">
        <f t="shared" si="7"/>
        <v>165</v>
      </c>
      <c r="I21" s="43">
        <f t="shared" si="7"/>
        <v>12556</v>
      </c>
      <c r="J21" s="43">
        <f t="shared" si="7"/>
        <v>0</v>
      </c>
      <c r="K21" s="43">
        <f t="shared" si="7"/>
        <v>0</v>
      </c>
      <c r="L21" s="122">
        <f t="shared" si="7"/>
        <v>0</v>
      </c>
    </row>
    <row r="22" spans="1:12" ht="18.75" customHeight="1">
      <c r="A22" s="1098"/>
      <c r="B22" s="961"/>
      <c r="C22" s="961"/>
      <c r="D22" s="1089" t="s">
        <v>114</v>
      </c>
      <c r="E22" s="1090"/>
      <c r="F22" s="43">
        <f aca="true" t="shared" si="8" ref="F22:L22">ROUND(F11*1000/$L$2,0)</f>
        <v>96303</v>
      </c>
      <c r="G22" s="43">
        <f t="shared" si="8"/>
        <v>96303</v>
      </c>
      <c r="H22" s="43">
        <f t="shared" si="8"/>
        <v>449</v>
      </c>
      <c r="I22" s="43">
        <f t="shared" si="8"/>
        <v>95854</v>
      </c>
      <c r="J22" s="43">
        <f t="shared" si="8"/>
        <v>0</v>
      </c>
      <c r="K22" s="43">
        <f t="shared" si="8"/>
        <v>0</v>
      </c>
      <c r="L22" s="122">
        <f t="shared" si="8"/>
        <v>0</v>
      </c>
    </row>
    <row r="23" spans="1:12" ht="18.75" customHeight="1">
      <c r="A23" s="1098"/>
      <c r="B23" s="961"/>
      <c r="C23" s="961"/>
      <c r="D23" s="1089" t="s">
        <v>115</v>
      </c>
      <c r="E23" s="1090"/>
      <c r="F23" s="43">
        <f aca="true" t="shared" si="9" ref="F23:L23">ROUND(F12*1000/$L$2,0)</f>
        <v>62699</v>
      </c>
      <c r="G23" s="43">
        <f t="shared" si="9"/>
        <v>62699</v>
      </c>
      <c r="H23" s="43">
        <f t="shared" si="9"/>
        <v>3536</v>
      </c>
      <c r="I23" s="43">
        <f t="shared" si="9"/>
        <v>59164</v>
      </c>
      <c r="J23" s="43">
        <f t="shared" si="9"/>
        <v>0</v>
      </c>
      <c r="K23" s="43">
        <f t="shared" si="9"/>
        <v>0</v>
      </c>
      <c r="L23" s="122">
        <f t="shared" si="9"/>
        <v>0</v>
      </c>
    </row>
    <row r="24" spans="1:12" ht="18.75" customHeight="1">
      <c r="A24" s="1098"/>
      <c r="B24" s="961"/>
      <c r="C24" s="966"/>
      <c r="D24" s="1089" t="s">
        <v>116</v>
      </c>
      <c r="E24" s="1090"/>
      <c r="F24" s="43">
        <f aca="true" t="shared" si="10" ref="F24:L24">ROUND(F13*1000/$L$2,0)</f>
        <v>1873</v>
      </c>
      <c r="G24" s="43">
        <f t="shared" si="10"/>
        <v>1873</v>
      </c>
      <c r="H24" s="43">
        <f t="shared" si="10"/>
        <v>0</v>
      </c>
      <c r="I24" s="43">
        <f t="shared" si="10"/>
        <v>1873</v>
      </c>
      <c r="J24" s="43">
        <f t="shared" si="10"/>
        <v>0</v>
      </c>
      <c r="K24" s="43">
        <f t="shared" si="10"/>
        <v>0</v>
      </c>
      <c r="L24" s="122">
        <f t="shared" si="10"/>
        <v>0</v>
      </c>
    </row>
    <row r="25" spans="1:12" ht="18.75" customHeight="1">
      <c r="A25" s="1098"/>
      <c r="B25" s="961"/>
      <c r="C25" s="1089" t="s">
        <v>117</v>
      </c>
      <c r="D25" s="1094"/>
      <c r="E25" s="1090"/>
      <c r="F25" s="43">
        <f aca="true" t="shared" si="11" ref="F25:L25">ROUND(F14*1000/$L$2,0)</f>
        <v>3361</v>
      </c>
      <c r="G25" s="43">
        <f t="shared" si="11"/>
        <v>3361</v>
      </c>
      <c r="H25" s="43">
        <f t="shared" si="11"/>
        <v>70</v>
      </c>
      <c r="I25" s="43">
        <f t="shared" si="11"/>
        <v>3291</v>
      </c>
      <c r="J25" s="43">
        <f t="shared" si="11"/>
        <v>0</v>
      </c>
      <c r="K25" s="43">
        <f t="shared" si="11"/>
        <v>0</v>
      </c>
      <c r="L25" s="122">
        <f t="shared" si="11"/>
        <v>0</v>
      </c>
    </row>
    <row r="26" spans="1:12" ht="18.75" customHeight="1" thickBot="1">
      <c r="A26" s="1099"/>
      <c r="B26" s="962"/>
      <c r="C26" s="1091" t="s">
        <v>118</v>
      </c>
      <c r="D26" s="1092"/>
      <c r="E26" s="1093"/>
      <c r="F26" s="236">
        <f aca="true" t="shared" si="12" ref="F26:L26">ROUND(F15*1000/$L$2,0)</f>
        <v>17892</v>
      </c>
      <c r="G26" s="236">
        <f t="shared" si="12"/>
        <v>17892</v>
      </c>
      <c r="H26" s="236">
        <f t="shared" si="12"/>
        <v>0</v>
      </c>
      <c r="I26" s="236">
        <f t="shared" si="12"/>
        <v>17892</v>
      </c>
      <c r="J26" s="236">
        <f t="shared" si="12"/>
        <v>0</v>
      </c>
      <c r="K26" s="236">
        <f t="shared" si="12"/>
        <v>0</v>
      </c>
      <c r="L26" s="237">
        <f t="shared" si="12"/>
        <v>0</v>
      </c>
    </row>
    <row r="27" ht="19.5" customHeight="1">
      <c r="A27" s="7" t="s">
        <v>120</v>
      </c>
    </row>
  </sheetData>
  <sheetProtection/>
  <mergeCells count="32">
    <mergeCell ref="K3:K4"/>
    <mergeCell ref="L3:L4"/>
    <mergeCell ref="A1:H1"/>
    <mergeCell ref="A3:E4"/>
    <mergeCell ref="F3:F4"/>
    <mergeCell ref="G3:J3"/>
    <mergeCell ref="A5:A15"/>
    <mergeCell ref="B5:E5"/>
    <mergeCell ref="B6:B15"/>
    <mergeCell ref="C6:E6"/>
    <mergeCell ref="C7:C13"/>
    <mergeCell ref="D7:E7"/>
    <mergeCell ref="D8:D9"/>
    <mergeCell ref="D10:E10"/>
    <mergeCell ref="D11:E11"/>
    <mergeCell ref="D12:E12"/>
    <mergeCell ref="D13:E13"/>
    <mergeCell ref="C14:E14"/>
    <mergeCell ref="C15:E15"/>
    <mergeCell ref="A16:A26"/>
    <mergeCell ref="B16:E16"/>
    <mergeCell ref="B17:B26"/>
    <mergeCell ref="C17:E17"/>
    <mergeCell ref="C18:C24"/>
    <mergeCell ref="D18:E18"/>
    <mergeCell ref="D19:D20"/>
    <mergeCell ref="D21:E21"/>
    <mergeCell ref="C26:E26"/>
    <mergeCell ref="D22:E22"/>
    <mergeCell ref="D23:E23"/>
    <mergeCell ref="D24:E24"/>
    <mergeCell ref="C25:E25"/>
  </mergeCells>
  <printOptions/>
  <pageMargins left="0.75" right="0.75" top="0.88" bottom="0.81" header="0.512" footer="0.512"/>
  <pageSetup fitToHeight="1" fitToWidth="1" horizontalDpi="300" verticalDpi="300" orientation="landscape" paperSize="9" scale="99" r:id="rId1"/>
</worksheet>
</file>

<file path=xl/worksheets/sheet16.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L2" sqref="L2"/>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6384" width="9.00390625" style="7" customWidth="1"/>
  </cols>
  <sheetData>
    <row r="1" spans="1:8" ht="21" customHeight="1">
      <c r="A1" s="1112" t="s">
        <v>236</v>
      </c>
      <c r="B1" s="1112"/>
      <c r="C1" s="1112"/>
      <c r="D1" s="1112"/>
      <c r="E1" s="1112"/>
      <c r="F1" s="1112"/>
      <c r="G1" s="1112"/>
      <c r="H1" s="1112"/>
    </row>
    <row r="2" spans="11:12" ht="21" customHeight="1" thickBot="1">
      <c r="K2" s="52" t="s">
        <v>125</v>
      </c>
      <c r="L2" s="908">
        <v>87</v>
      </c>
    </row>
    <row r="3" spans="1:12" ht="16.5" customHeight="1">
      <c r="A3" s="1113" t="s">
        <v>106</v>
      </c>
      <c r="B3" s="1114"/>
      <c r="C3" s="1114"/>
      <c r="D3" s="1114"/>
      <c r="E3" s="1115"/>
      <c r="F3" s="1055" t="s">
        <v>28</v>
      </c>
      <c r="G3" s="1050" t="s">
        <v>93</v>
      </c>
      <c r="H3" s="1051"/>
      <c r="I3" s="1051"/>
      <c r="J3" s="1051"/>
      <c r="K3" s="1055" t="s">
        <v>107</v>
      </c>
      <c r="L3" s="1110" t="s">
        <v>264</v>
      </c>
    </row>
    <row r="4" spans="1:12" ht="33" customHeight="1" thickBot="1">
      <c r="A4" s="1116"/>
      <c r="B4" s="1117"/>
      <c r="C4" s="1117"/>
      <c r="D4" s="1117"/>
      <c r="E4" s="1118"/>
      <c r="F4" s="1109"/>
      <c r="G4" s="53" t="s">
        <v>108</v>
      </c>
      <c r="H4" s="46" t="s">
        <v>268</v>
      </c>
      <c r="I4" s="181" t="s">
        <v>263</v>
      </c>
      <c r="J4" s="182" t="s">
        <v>269</v>
      </c>
      <c r="K4" s="1109"/>
      <c r="L4" s="1111"/>
    </row>
    <row r="5" spans="1:12" ht="18.75" customHeight="1">
      <c r="A5" s="1103" t="s">
        <v>27</v>
      </c>
      <c r="B5" s="1106" t="s">
        <v>109</v>
      </c>
      <c r="C5" s="1107"/>
      <c r="D5" s="1107"/>
      <c r="E5" s="1108"/>
      <c r="F5" s="232">
        <f>G5+K5+L5</f>
        <v>212128</v>
      </c>
      <c r="G5" s="232">
        <f>SUM(H5:J5)</f>
        <v>212128</v>
      </c>
      <c r="H5" s="232">
        <f>H6+H14+H15</f>
        <v>11327</v>
      </c>
      <c r="I5" s="232">
        <f>I6+I14+I15</f>
        <v>200801</v>
      </c>
      <c r="J5" s="232">
        <f>J6+J14+J15</f>
        <v>0</v>
      </c>
      <c r="K5" s="232">
        <f>K6+K14+K15</f>
        <v>0</v>
      </c>
      <c r="L5" s="233">
        <f>L6+L14+L15</f>
        <v>0</v>
      </c>
    </row>
    <row r="6" spans="1:12" ht="18.75" customHeight="1">
      <c r="A6" s="1104"/>
      <c r="B6" s="960"/>
      <c r="C6" s="1089" t="s">
        <v>110</v>
      </c>
      <c r="D6" s="1094"/>
      <c r="E6" s="1090"/>
      <c r="F6" s="43">
        <f aca="true" t="shared" si="0" ref="F6:F15">G6+K6+L6</f>
        <v>208891</v>
      </c>
      <c r="G6" s="43">
        <f aca="true" t="shared" si="1" ref="G6:G15">SUM(H6:J6)</f>
        <v>208891</v>
      </c>
      <c r="H6" s="43">
        <f>H7+SUM(H10:H13)</f>
        <v>9930</v>
      </c>
      <c r="I6" s="43">
        <f>I7+SUM(I10:I13)</f>
        <v>198961</v>
      </c>
      <c r="J6" s="43">
        <f>J7+SUM(J10:J13)</f>
        <v>0</v>
      </c>
      <c r="K6" s="43">
        <f>K7+SUM(K10:K13)</f>
        <v>0</v>
      </c>
      <c r="L6" s="122">
        <f>L7+SUM(L10:L13)</f>
        <v>0</v>
      </c>
    </row>
    <row r="7" spans="1:12" ht="18.75" customHeight="1">
      <c r="A7" s="1104"/>
      <c r="B7" s="961"/>
      <c r="C7" s="960"/>
      <c r="D7" s="1089" t="s">
        <v>111</v>
      </c>
      <c r="E7" s="1090"/>
      <c r="F7" s="43">
        <f t="shared" si="0"/>
        <v>172044</v>
      </c>
      <c r="G7" s="43">
        <f>SUM(H7:J7)</f>
        <v>172044</v>
      </c>
      <c r="H7" s="43">
        <v>6744</v>
      </c>
      <c r="I7" s="43">
        <v>165300</v>
      </c>
      <c r="J7" s="43">
        <f>J8+J9</f>
        <v>0</v>
      </c>
      <c r="K7" s="43">
        <f>K8+K9</f>
        <v>0</v>
      </c>
      <c r="L7" s="122">
        <f>L8+L9</f>
        <v>0</v>
      </c>
    </row>
    <row r="8" spans="1:12" ht="18.75" customHeight="1">
      <c r="A8" s="1104"/>
      <c r="B8" s="961"/>
      <c r="C8" s="961"/>
      <c r="D8" s="960"/>
      <c r="E8" s="50" t="s">
        <v>280</v>
      </c>
      <c r="F8" s="43">
        <f t="shared" si="0"/>
        <v>97533</v>
      </c>
      <c r="G8" s="43">
        <f t="shared" si="1"/>
        <v>97533</v>
      </c>
      <c r="H8" s="43">
        <v>0</v>
      </c>
      <c r="I8" s="43">
        <v>97533</v>
      </c>
      <c r="J8" s="43">
        <v>0</v>
      </c>
      <c r="K8" s="43">
        <v>0</v>
      </c>
      <c r="L8" s="122">
        <v>0</v>
      </c>
    </row>
    <row r="9" spans="1:12" ht="18.75" customHeight="1">
      <c r="A9" s="1104"/>
      <c r="B9" s="961"/>
      <c r="C9" s="961"/>
      <c r="D9" s="966"/>
      <c r="E9" s="11" t="s">
        <v>112</v>
      </c>
      <c r="F9" s="43">
        <f t="shared" si="0"/>
        <v>74511</v>
      </c>
      <c r="G9" s="43">
        <f t="shared" si="1"/>
        <v>74511</v>
      </c>
      <c r="H9" s="43">
        <f>H7-H8</f>
        <v>6744</v>
      </c>
      <c r="I9" s="43">
        <f>I7-I8</f>
        <v>67767</v>
      </c>
      <c r="J9" s="43">
        <v>0</v>
      </c>
      <c r="K9" s="43">
        <v>0</v>
      </c>
      <c r="L9" s="122">
        <v>0</v>
      </c>
    </row>
    <row r="10" spans="1:12" ht="18.75" customHeight="1">
      <c r="A10" s="1104"/>
      <c r="B10" s="961"/>
      <c r="C10" s="961"/>
      <c r="D10" s="1089" t="s">
        <v>113</v>
      </c>
      <c r="E10" s="1090"/>
      <c r="F10" s="43">
        <f>G10+K10+L10</f>
        <v>15755</v>
      </c>
      <c r="G10" s="43">
        <f t="shared" si="1"/>
        <v>15755</v>
      </c>
      <c r="H10" s="43">
        <v>3048</v>
      </c>
      <c r="I10" s="43">
        <v>12707</v>
      </c>
      <c r="J10" s="43">
        <v>0</v>
      </c>
      <c r="K10" s="43">
        <v>0</v>
      </c>
      <c r="L10" s="122">
        <v>0</v>
      </c>
    </row>
    <row r="11" spans="1:12" ht="18.75" customHeight="1">
      <c r="A11" s="1104"/>
      <c r="B11" s="961"/>
      <c r="C11" s="961"/>
      <c r="D11" s="1089" t="s">
        <v>114</v>
      </c>
      <c r="E11" s="1090"/>
      <c r="F11" s="43">
        <f t="shared" si="0"/>
        <v>20700</v>
      </c>
      <c r="G11" s="43">
        <f t="shared" si="1"/>
        <v>20700</v>
      </c>
      <c r="H11" s="43">
        <v>138</v>
      </c>
      <c r="I11" s="43">
        <v>20562</v>
      </c>
      <c r="J11" s="43">
        <v>0</v>
      </c>
      <c r="K11" s="43">
        <v>0</v>
      </c>
      <c r="L11" s="122">
        <v>0</v>
      </c>
    </row>
    <row r="12" spans="1:12" ht="18.75" customHeight="1">
      <c r="A12" s="1104"/>
      <c r="B12" s="961"/>
      <c r="C12" s="961"/>
      <c r="D12" s="1089" t="s">
        <v>115</v>
      </c>
      <c r="E12" s="1090"/>
      <c r="F12" s="43">
        <f t="shared" si="0"/>
        <v>0</v>
      </c>
      <c r="G12" s="43">
        <f t="shared" si="1"/>
        <v>0</v>
      </c>
      <c r="H12" s="43">
        <v>0</v>
      </c>
      <c r="I12" s="43">
        <v>0</v>
      </c>
      <c r="J12" s="43">
        <v>0</v>
      </c>
      <c r="K12" s="43">
        <v>0</v>
      </c>
      <c r="L12" s="122">
        <v>0</v>
      </c>
    </row>
    <row r="13" spans="1:12" ht="18.75" customHeight="1">
      <c r="A13" s="1104"/>
      <c r="B13" s="961"/>
      <c r="C13" s="966"/>
      <c r="D13" s="1089" t="s">
        <v>116</v>
      </c>
      <c r="E13" s="1090"/>
      <c r="F13" s="43">
        <f t="shared" si="0"/>
        <v>392</v>
      </c>
      <c r="G13" s="43">
        <f t="shared" si="1"/>
        <v>392</v>
      </c>
      <c r="H13" s="43">
        <v>0</v>
      </c>
      <c r="I13" s="43">
        <v>392</v>
      </c>
      <c r="J13" s="43">
        <v>0</v>
      </c>
      <c r="K13" s="43">
        <v>0</v>
      </c>
      <c r="L13" s="122">
        <v>0</v>
      </c>
    </row>
    <row r="14" spans="1:12" ht="18.75" customHeight="1">
      <c r="A14" s="1104"/>
      <c r="B14" s="961"/>
      <c r="C14" s="1089" t="s">
        <v>117</v>
      </c>
      <c r="D14" s="1094"/>
      <c r="E14" s="1090"/>
      <c r="F14" s="43">
        <f t="shared" si="0"/>
        <v>3237</v>
      </c>
      <c r="G14" s="43">
        <f t="shared" si="1"/>
        <v>3237</v>
      </c>
      <c r="H14" s="43">
        <v>1397</v>
      </c>
      <c r="I14" s="43">
        <v>1840</v>
      </c>
      <c r="J14" s="43">
        <v>0</v>
      </c>
      <c r="K14" s="43">
        <v>0</v>
      </c>
      <c r="L14" s="122">
        <v>0</v>
      </c>
    </row>
    <row r="15" spans="1:12" ht="18.75" customHeight="1" thickBot="1">
      <c r="A15" s="1105"/>
      <c r="B15" s="970"/>
      <c r="C15" s="1095" t="s">
        <v>118</v>
      </c>
      <c r="D15" s="1096"/>
      <c r="E15" s="1097"/>
      <c r="F15" s="123">
        <f t="shared" si="0"/>
        <v>0</v>
      </c>
      <c r="G15" s="123">
        <f t="shared" si="1"/>
        <v>0</v>
      </c>
      <c r="H15" s="123">
        <v>0</v>
      </c>
      <c r="I15" s="123">
        <v>0</v>
      </c>
      <c r="J15" s="123">
        <v>0</v>
      </c>
      <c r="K15" s="123">
        <v>0</v>
      </c>
      <c r="L15" s="907">
        <v>0</v>
      </c>
    </row>
    <row r="16" spans="1:12" ht="18.75" customHeight="1" thickTop="1">
      <c r="A16" s="1098" t="s">
        <v>126</v>
      </c>
      <c r="B16" s="1100" t="s">
        <v>109</v>
      </c>
      <c r="C16" s="1101"/>
      <c r="D16" s="1101"/>
      <c r="E16" s="1102"/>
      <c r="F16" s="234">
        <f>ROUND(F5*1000/$L$2,0)</f>
        <v>2438253</v>
      </c>
      <c r="G16" s="234">
        <f aca="true" t="shared" si="2" ref="G16:L16">ROUND(G5*1000/$L$2,0)</f>
        <v>2438253</v>
      </c>
      <c r="H16" s="234">
        <f t="shared" si="2"/>
        <v>130195</v>
      </c>
      <c r="I16" s="234">
        <f t="shared" si="2"/>
        <v>2308057</v>
      </c>
      <c r="J16" s="234">
        <f t="shared" si="2"/>
        <v>0</v>
      </c>
      <c r="K16" s="234">
        <f t="shared" si="2"/>
        <v>0</v>
      </c>
      <c r="L16" s="235">
        <f t="shared" si="2"/>
        <v>0</v>
      </c>
    </row>
    <row r="17" spans="1:12" ht="18.75" customHeight="1">
      <c r="A17" s="1098"/>
      <c r="B17" s="960"/>
      <c r="C17" s="1089" t="s">
        <v>110</v>
      </c>
      <c r="D17" s="1094"/>
      <c r="E17" s="1090"/>
      <c r="F17" s="43">
        <f aca="true" t="shared" si="3" ref="F17:L17">ROUND(F6*1000/$L$2,0)</f>
        <v>2401046</v>
      </c>
      <c r="G17" s="43">
        <f t="shared" si="3"/>
        <v>2401046</v>
      </c>
      <c r="H17" s="43">
        <f t="shared" si="3"/>
        <v>114138</v>
      </c>
      <c r="I17" s="43">
        <f t="shared" si="3"/>
        <v>2286908</v>
      </c>
      <c r="J17" s="43">
        <f t="shared" si="3"/>
        <v>0</v>
      </c>
      <c r="K17" s="43">
        <f t="shared" si="3"/>
        <v>0</v>
      </c>
      <c r="L17" s="122">
        <f t="shared" si="3"/>
        <v>0</v>
      </c>
    </row>
    <row r="18" spans="1:12" ht="18.75" customHeight="1">
      <c r="A18" s="1098"/>
      <c r="B18" s="961"/>
      <c r="C18" s="960"/>
      <c r="D18" s="1089" t="s">
        <v>111</v>
      </c>
      <c r="E18" s="1090"/>
      <c r="F18" s="43">
        <f aca="true" t="shared" si="4" ref="F18:L18">ROUND(F7*1000/$L$2,0)</f>
        <v>1977517</v>
      </c>
      <c r="G18" s="43">
        <f t="shared" si="4"/>
        <v>1977517</v>
      </c>
      <c r="H18" s="43">
        <f t="shared" si="4"/>
        <v>77517</v>
      </c>
      <c r="I18" s="43">
        <f t="shared" si="4"/>
        <v>1900000</v>
      </c>
      <c r="J18" s="43">
        <f t="shared" si="4"/>
        <v>0</v>
      </c>
      <c r="K18" s="43">
        <f t="shared" si="4"/>
        <v>0</v>
      </c>
      <c r="L18" s="122">
        <f t="shared" si="4"/>
        <v>0</v>
      </c>
    </row>
    <row r="19" spans="1:12" ht="18.75" customHeight="1">
      <c r="A19" s="1098"/>
      <c r="B19" s="961"/>
      <c r="C19" s="961"/>
      <c r="D19" s="960"/>
      <c r="E19" s="50" t="s">
        <v>281</v>
      </c>
      <c r="F19" s="43">
        <f aca="true" t="shared" si="5" ref="F19:L19">ROUND(F8*1000/$L$2,0)</f>
        <v>1121069</v>
      </c>
      <c r="G19" s="43">
        <f t="shared" si="5"/>
        <v>1121069</v>
      </c>
      <c r="H19" s="43">
        <f t="shared" si="5"/>
        <v>0</v>
      </c>
      <c r="I19" s="43">
        <f t="shared" si="5"/>
        <v>1121069</v>
      </c>
      <c r="J19" s="43">
        <f t="shared" si="5"/>
        <v>0</v>
      </c>
      <c r="K19" s="43">
        <f t="shared" si="5"/>
        <v>0</v>
      </c>
      <c r="L19" s="122">
        <f t="shared" si="5"/>
        <v>0</v>
      </c>
    </row>
    <row r="20" spans="1:12" ht="18.75" customHeight="1">
      <c r="A20" s="1098"/>
      <c r="B20" s="961"/>
      <c r="C20" s="961"/>
      <c r="D20" s="966"/>
      <c r="E20" s="11" t="s">
        <v>112</v>
      </c>
      <c r="F20" s="43">
        <f aca="true" t="shared" si="6" ref="F20:L20">ROUND(F9*1000/$L$2,0)</f>
        <v>856448</v>
      </c>
      <c r="G20" s="43">
        <f t="shared" si="6"/>
        <v>856448</v>
      </c>
      <c r="H20" s="43">
        <f t="shared" si="6"/>
        <v>77517</v>
      </c>
      <c r="I20" s="43">
        <f t="shared" si="6"/>
        <v>778931</v>
      </c>
      <c r="J20" s="43">
        <f t="shared" si="6"/>
        <v>0</v>
      </c>
      <c r="K20" s="43">
        <f t="shared" si="6"/>
        <v>0</v>
      </c>
      <c r="L20" s="122">
        <f t="shared" si="6"/>
        <v>0</v>
      </c>
    </row>
    <row r="21" spans="1:12" ht="18.75" customHeight="1">
      <c r="A21" s="1098"/>
      <c r="B21" s="961"/>
      <c r="C21" s="961"/>
      <c r="D21" s="1089" t="s">
        <v>113</v>
      </c>
      <c r="E21" s="1090"/>
      <c r="F21" s="43">
        <f aca="true" t="shared" si="7" ref="F21:L21">ROUND(F10*1000/$L$2,0)</f>
        <v>181092</v>
      </c>
      <c r="G21" s="43">
        <f t="shared" si="7"/>
        <v>181092</v>
      </c>
      <c r="H21" s="43">
        <f t="shared" si="7"/>
        <v>35034</v>
      </c>
      <c r="I21" s="43">
        <f t="shared" si="7"/>
        <v>146057</v>
      </c>
      <c r="J21" s="43">
        <f t="shared" si="7"/>
        <v>0</v>
      </c>
      <c r="K21" s="43">
        <f t="shared" si="7"/>
        <v>0</v>
      </c>
      <c r="L21" s="122">
        <f t="shared" si="7"/>
        <v>0</v>
      </c>
    </row>
    <row r="22" spans="1:12" ht="18.75" customHeight="1">
      <c r="A22" s="1098"/>
      <c r="B22" s="961"/>
      <c r="C22" s="961"/>
      <c r="D22" s="1089" t="s">
        <v>114</v>
      </c>
      <c r="E22" s="1090"/>
      <c r="F22" s="43">
        <f aca="true" t="shared" si="8" ref="F22:L22">ROUND(F11*1000/$L$2,0)</f>
        <v>237931</v>
      </c>
      <c r="G22" s="43">
        <f t="shared" si="8"/>
        <v>237931</v>
      </c>
      <c r="H22" s="43">
        <f t="shared" si="8"/>
        <v>1586</v>
      </c>
      <c r="I22" s="43">
        <f t="shared" si="8"/>
        <v>236345</v>
      </c>
      <c r="J22" s="43">
        <f t="shared" si="8"/>
        <v>0</v>
      </c>
      <c r="K22" s="43">
        <f t="shared" si="8"/>
        <v>0</v>
      </c>
      <c r="L22" s="122">
        <f t="shared" si="8"/>
        <v>0</v>
      </c>
    </row>
    <row r="23" spans="1:12" ht="18.75" customHeight="1">
      <c r="A23" s="1098"/>
      <c r="B23" s="961"/>
      <c r="C23" s="961"/>
      <c r="D23" s="1089" t="s">
        <v>115</v>
      </c>
      <c r="E23" s="1090"/>
      <c r="F23" s="43">
        <f aca="true" t="shared" si="9" ref="F23:L23">ROUND(F12*1000/$L$2,0)</f>
        <v>0</v>
      </c>
      <c r="G23" s="43">
        <f t="shared" si="9"/>
        <v>0</v>
      </c>
      <c r="H23" s="43">
        <f t="shared" si="9"/>
        <v>0</v>
      </c>
      <c r="I23" s="43">
        <f t="shared" si="9"/>
        <v>0</v>
      </c>
      <c r="J23" s="43">
        <f t="shared" si="9"/>
        <v>0</v>
      </c>
      <c r="K23" s="43">
        <f t="shared" si="9"/>
        <v>0</v>
      </c>
      <c r="L23" s="122">
        <f t="shared" si="9"/>
        <v>0</v>
      </c>
    </row>
    <row r="24" spans="1:12" ht="18.75" customHeight="1">
      <c r="A24" s="1098"/>
      <c r="B24" s="961"/>
      <c r="C24" s="966"/>
      <c r="D24" s="1089" t="s">
        <v>116</v>
      </c>
      <c r="E24" s="1090"/>
      <c r="F24" s="43">
        <f aca="true" t="shared" si="10" ref="F24:L24">ROUND(F13*1000/$L$2,0)</f>
        <v>4506</v>
      </c>
      <c r="G24" s="43">
        <f t="shared" si="10"/>
        <v>4506</v>
      </c>
      <c r="H24" s="43">
        <f t="shared" si="10"/>
        <v>0</v>
      </c>
      <c r="I24" s="43">
        <f t="shared" si="10"/>
        <v>4506</v>
      </c>
      <c r="J24" s="43">
        <f t="shared" si="10"/>
        <v>0</v>
      </c>
      <c r="K24" s="43">
        <f t="shared" si="10"/>
        <v>0</v>
      </c>
      <c r="L24" s="122">
        <f t="shared" si="10"/>
        <v>0</v>
      </c>
    </row>
    <row r="25" spans="1:12" ht="18.75" customHeight="1">
      <c r="A25" s="1098"/>
      <c r="B25" s="961"/>
      <c r="C25" s="1089" t="s">
        <v>117</v>
      </c>
      <c r="D25" s="1094"/>
      <c r="E25" s="1090"/>
      <c r="F25" s="43">
        <f aca="true" t="shared" si="11" ref="F25:L25">ROUND(F14*1000/$L$2,0)</f>
        <v>37207</v>
      </c>
      <c r="G25" s="43">
        <f t="shared" si="11"/>
        <v>37207</v>
      </c>
      <c r="H25" s="43">
        <f t="shared" si="11"/>
        <v>16057</v>
      </c>
      <c r="I25" s="43">
        <f t="shared" si="11"/>
        <v>21149</v>
      </c>
      <c r="J25" s="43">
        <f t="shared" si="11"/>
        <v>0</v>
      </c>
      <c r="K25" s="43">
        <f t="shared" si="11"/>
        <v>0</v>
      </c>
      <c r="L25" s="122">
        <f t="shared" si="11"/>
        <v>0</v>
      </c>
    </row>
    <row r="26" spans="1:12" ht="18.75" customHeight="1" thickBot="1">
      <c r="A26" s="1099"/>
      <c r="B26" s="962"/>
      <c r="C26" s="1091" t="s">
        <v>118</v>
      </c>
      <c r="D26" s="1092"/>
      <c r="E26" s="1093"/>
      <c r="F26" s="236">
        <f aca="true" t="shared" si="12" ref="F26:L26">ROUND(F15*1000/$L$2,0)</f>
        <v>0</v>
      </c>
      <c r="G26" s="236">
        <f t="shared" si="12"/>
        <v>0</v>
      </c>
      <c r="H26" s="236">
        <f t="shared" si="12"/>
        <v>0</v>
      </c>
      <c r="I26" s="236">
        <f t="shared" si="12"/>
        <v>0</v>
      </c>
      <c r="J26" s="236">
        <f t="shared" si="12"/>
        <v>0</v>
      </c>
      <c r="K26" s="236">
        <f t="shared" si="12"/>
        <v>0</v>
      </c>
      <c r="L26" s="237">
        <f t="shared" si="12"/>
        <v>0</v>
      </c>
    </row>
    <row r="27" ht="19.5" customHeight="1">
      <c r="A27" s="7" t="s">
        <v>120</v>
      </c>
    </row>
  </sheetData>
  <sheetProtection/>
  <mergeCells count="32">
    <mergeCell ref="K3:K4"/>
    <mergeCell ref="L3:L4"/>
    <mergeCell ref="A1:H1"/>
    <mergeCell ref="A3:E4"/>
    <mergeCell ref="F3:F4"/>
    <mergeCell ref="G3:J3"/>
    <mergeCell ref="A5:A15"/>
    <mergeCell ref="B5:E5"/>
    <mergeCell ref="B6:B15"/>
    <mergeCell ref="C6:E6"/>
    <mergeCell ref="C7:C13"/>
    <mergeCell ref="D7:E7"/>
    <mergeCell ref="D8:D9"/>
    <mergeCell ref="D10:E10"/>
    <mergeCell ref="D11:E11"/>
    <mergeCell ref="D12:E12"/>
    <mergeCell ref="D13:E13"/>
    <mergeCell ref="C14:E14"/>
    <mergeCell ref="C15:E15"/>
    <mergeCell ref="A16:A26"/>
    <mergeCell ref="B16:E16"/>
    <mergeCell ref="B17:B26"/>
    <mergeCell ref="C17:E17"/>
    <mergeCell ref="C18:C24"/>
    <mergeCell ref="D18:E18"/>
    <mergeCell ref="D19:D20"/>
    <mergeCell ref="D21:E21"/>
    <mergeCell ref="C26:E26"/>
    <mergeCell ref="D22:E22"/>
    <mergeCell ref="D23:E23"/>
    <mergeCell ref="D24:E24"/>
    <mergeCell ref="C25:E25"/>
  </mergeCells>
  <printOptions/>
  <pageMargins left="0.75" right="0.75" top="1" bottom="1" header="0.512" footer="0.512"/>
  <pageSetup fitToHeight="1" fitToWidth="1" horizontalDpi="300" verticalDpi="300" orientation="landscape" paperSize="9" scale="95" r:id="rId1"/>
</worksheet>
</file>

<file path=xl/worksheets/sheet17.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L2" sqref="L2"/>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6384" width="9.00390625" style="7" customWidth="1"/>
  </cols>
  <sheetData>
    <row r="1" spans="1:8" ht="21" customHeight="1">
      <c r="A1" s="1112" t="s">
        <v>324</v>
      </c>
      <c r="B1" s="1112"/>
      <c r="C1" s="1112"/>
      <c r="D1" s="1112"/>
      <c r="E1" s="1112"/>
      <c r="F1" s="1112"/>
      <c r="G1" s="1112"/>
      <c r="H1" s="1112"/>
    </row>
    <row r="2" spans="11:12" ht="21" customHeight="1" thickBot="1">
      <c r="K2" s="52" t="s">
        <v>315</v>
      </c>
      <c r="L2" s="908">
        <v>1242</v>
      </c>
    </row>
    <row r="3" spans="1:12" ht="16.5" customHeight="1">
      <c r="A3" s="1113" t="s">
        <v>106</v>
      </c>
      <c r="B3" s="1114"/>
      <c r="C3" s="1114"/>
      <c r="D3" s="1114"/>
      <c r="E3" s="1115"/>
      <c r="F3" s="1055" t="s">
        <v>28</v>
      </c>
      <c r="G3" s="1050" t="s">
        <v>93</v>
      </c>
      <c r="H3" s="1051"/>
      <c r="I3" s="1051"/>
      <c r="J3" s="1051"/>
      <c r="K3" s="1055" t="s">
        <v>107</v>
      </c>
      <c r="L3" s="1110" t="s">
        <v>264</v>
      </c>
    </row>
    <row r="4" spans="1:12" ht="33" customHeight="1" thickBot="1">
      <c r="A4" s="1116"/>
      <c r="B4" s="1117"/>
      <c r="C4" s="1117"/>
      <c r="D4" s="1117"/>
      <c r="E4" s="1118"/>
      <c r="F4" s="1109"/>
      <c r="G4" s="53" t="s">
        <v>108</v>
      </c>
      <c r="H4" s="46" t="s">
        <v>268</v>
      </c>
      <c r="I4" s="181" t="s">
        <v>263</v>
      </c>
      <c r="J4" s="182" t="s">
        <v>269</v>
      </c>
      <c r="K4" s="1109"/>
      <c r="L4" s="1111"/>
    </row>
    <row r="5" spans="1:12" ht="18.75" customHeight="1">
      <c r="A5" s="1103" t="s">
        <v>27</v>
      </c>
      <c r="B5" s="1106" t="s">
        <v>109</v>
      </c>
      <c r="C5" s="1107"/>
      <c r="D5" s="1107"/>
      <c r="E5" s="1108"/>
      <c r="F5" s="232">
        <f>G5+K5+L5</f>
        <v>1500392</v>
      </c>
      <c r="G5" s="232">
        <f>SUM(H5:J5)</f>
        <v>1500392</v>
      </c>
      <c r="H5" s="232">
        <f>H6+H14+H15</f>
        <v>2985</v>
      </c>
      <c r="I5" s="232">
        <f>I6+I14+I15</f>
        <v>1909</v>
      </c>
      <c r="J5" s="232">
        <f>J6+J14+J15</f>
        <v>1495498</v>
      </c>
      <c r="K5" s="232">
        <f>K6+K14+K15</f>
        <v>0</v>
      </c>
      <c r="L5" s="233">
        <f>L6+L14+L15</f>
        <v>0</v>
      </c>
    </row>
    <row r="6" spans="1:12" ht="18.75" customHeight="1">
      <c r="A6" s="1104"/>
      <c r="B6" s="960"/>
      <c r="C6" s="1089" t="s">
        <v>110</v>
      </c>
      <c r="D6" s="1094"/>
      <c r="E6" s="1090"/>
      <c r="F6" s="43">
        <f aca="true" t="shared" si="0" ref="F6:F15">G6+K6+L6</f>
        <v>1473925</v>
      </c>
      <c r="G6" s="43">
        <f aca="true" t="shared" si="1" ref="G6:G15">SUM(H6:J6)</f>
        <v>1473925</v>
      </c>
      <c r="H6" s="43">
        <f>H7+SUM(H10:H13)</f>
        <v>2985</v>
      </c>
      <c r="I6" s="43">
        <f>I7+SUM(I10:I13)</f>
        <v>1909</v>
      </c>
      <c r="J6" s="43">
        <f>J7+SUM(J10:J13)</f>
        <v>1469031</v>
      </c>
      <c r="K6" s="43">
        <f>K7+SUM(K10:K13)</f>
        <v>0</v>
      </c>
      <c r="L6" s="122">
        <f>L7+SUM(L10:L13)</f>
        <v>0</v>
      </c>
    </row>
    <row r="7" spans="1:12" ht="18.75" customHeight="1">
      <c r="A7" s="1104"/>
      <c r="B7" s="961"/>
      <c r="C7" s="960"/>
      <c r="D7" s="1089" t="s">
        <v>111</v>
      </c>
      <c r="E7" s="1090"/>
      <c r="F7" s="43">
        <f t="shared" si="0"/>
        <v>1359642</v>
      </c>
      <c r="G7" s="43">
        <f t="shared" si="1"/>
        <v>1359642</v>
      </c>
      <c r="H7" s="43">
        <v>2606</v>
      </c>
      <c r="I7" s="43">
        <v>1909</v>
      </c>
      <c r="J7" s="43">
        <v>1355127</v>
      </c>
      <c r="K7" s="43">
        <v>0</v>
      </c>
      <c r="L7" s="122">
        <v>0</v>
      </c>
    </row>
    <row r="8" spans="1:12" ht="18.75" customHeight="1">
      <c r="A8" s="1104"/>
      <c r="B8" s="961"/>
      <c r="C8" s="961"/>
      <c r="D8" s="960"/>
      <c r="E8" s="50" t="s">
        <v>280</v>
      </c>
      <c r="F8" s="43">
        <f t="shared" si="0"/>
        <v>767784</v>
      </c>
      <c r="G8" s="43">
        <f t="shared" si="1"/>
        <v>767784</v>
      </c>
      <c r="H8" s="43">
        <v>558</v>
      </c>
      <c r="I8" s="43">
        <v>0</v>
      </c>
      <c r="J8" s="43">
        <v>767226</v>
      </c>
      <c r="K8" s="43">
        <v>0</v>
      </c>
      <c r="L8" s="122">
        <v>0</v>
      </c>
    </row>
    <row r="9" spans="1:12" ht="18.75" customHeight="1">
      <c r="A9" s="1104"/>
      <c r="B9" s="961"/>
      <c r="C9" s="961"/>
      <c r="D9" s="966"/>
      <c r="E9" s="11" t="s">
        <v>112</v>
      </c>
      <c r="F9" s="43">
        <f t="shared" si="0"/>
        <v>591858</v>
      </c>
      <c r="G9" s="43">
        <f t="shared" si="1"/>
        <v>591858</v>
      </c>
      <c r="H9" s="43">
        <f>H7-H8</f>
        <v>2048</v>
      </c>
      <c r="I9" s="43">
        <f>I7-I8</f>
        <v>1909</v>
      </c>
      <c r="J9" s="43">
        <f>J7-J8</f>
        <v>587901</v>
      </c>
      <c r="K9" s="43">
        <f>K7-K8</f>
        <v>0</v>
      </c>
      <c r="L9" s="122">
        <f>L7-L8</f>
        <v>0</v>
      </c>
    </row>
    <row r="10" spans="1:12" ht="18.75" customHeight="1">
      <c r="A10" s="1104"/>
      <c r="B10" s="961"/>
      <c r="C10" s="961"/>
      <c r="D10" s="1089" t="s">
        <v>113</v>
      </c>
      <c r="E10" s="1090"/>
      <c r="F10" s="43">
        <f>G10+K10+L10</f>
        <v>25365</v>
      </c>
      <c r="G10" s="43">
        <f t="shared" si="1"/>
        <v>25365</v>
      </c>
      <c r="H10" s="43">
        <v>32</v>
      </c>
      <c r="I10" s="43">
        <v>0</v>
      </c>
      <c r="J10" s="43">
        <v>25333</v>
      </c>
      <c r="K10" s="43">
        <v>0</v>
      </c>
      <c r="L10" s="122">
        <v>0</v>
      </c>
    </row>
    <row r="11" spans="1:12" ht="18.75" customHeight="1">
      <c r="A11" s="1104"/>
      <c r="B11" s="961"/>
      <c r="C11" s="961"/>
      <c r="D11" s="1089" t="s">
        <v>114</v>
      </c>
      <c r="E11" s="1090"/>
      <c r="F11" s="43">
        <f t="shared" si="0"/>
        <v>54079</v>
      </c>
      <c r="G11" s="43">
        <f t="shared" si="1"/>
        <v>54079</v>
      </c>
      <c r="H11" s="43">
        <v>0</v>
      </c>
      <c r="I11" s="43">
        <v>0</v>
      </c>
      <c r="J11" s="43">
        <v>54079</v>
      </c>
      <c r="K11" s="43">
        <v>0</v>
      </c>
      <c r="L11" s="122">
        <v>0</v>
      </c>
    </row>
    <row r="12" spans="1:12" ht="18.75" customHeight="1">
      <c r="A12" s="1104"/>
      <c r="B12" s="961"/>
      <c r="C12" s="961"/>
      <c r="D12" s="1089" t="s">
        <v>115</v>
      </c>
      <c r="E12" s="1090"/>
      <c r="F12" s="43">
        <f t="shared" si="0"/>
        <v>33409</v>
      </c>
      <c r="G12" s="43">
        <f t="shared" si="1"/>
        <v>33409</v>
      </c>
      <c r="H12" s="43">
        <v>309</v>
      </c>
      <c r="I12" s="43">
        <v>0</v>
      </c>
      <c r="J12" s="43">
        <v>33100</v>
      </c>
      <c r="K12" s="43">
        <v>0</v>
      </c>
      <c r="L12" s="122">
        <v>0</v>
      </c>
    </row>
    <row r="13" spans="1:12" ht="18.75" customHeight="1">
      <c r="A13" s="1104"/>
      <c r="B13" s="961"/>
      <c r="C13" s="966"/>
      <c r="D13" s="1089" t="s">
        <v>116</v>
      </c>
      <c r="E13" s="1090"/>
      <c r="F13" s="43">
        <f t="shared" si="0"/>
        <v>1430</v>
      </c>
      <c r="G13" s="43">
        <f t="shared" si="1"/>
        <v>1430</v>
      </c>
      <c r="H13" s="43">
        <v>38</v>
      </c>
      <c r="I13" s="43">
        <v>0</v>
      </c>
      <c r="J13" s="43">
        <v>1392</v>
      </c>
      <c r="K13" s="43">
        <v>0</v>
      </c>
      <c r="L13" s="122">
        <v>0</v>
      </c>
    </row>
    <row r="14" spans="1:12" ht="18.75" customHeight="1">
      <c r="A14" s="1104"/>
      <c r="B14" s="961"/>
      <c r="C14" s="1089" t="s">
        <v>117</v>
      </c>
      <c r="D14" s="1094"/>
      <c r="E14" s="1090"/>
      <c r="F14" s="43">
        <f>G14+K14+L14</f>
        <v>25608</v>
      </c>
      <c r="G14" s="43">
        <f t="shared" si="1"/>
        <v>25608</v>
      </c>
      <c r="H14" s="43">
        <v>0</v>
      </c>
      <c r="I14" s="43">
        <v>0</v>
      </c>
      <c r="J14" s="43">
        <v>25608</v>
      </c>
      <c r="K14" s="43">
        <v>0</v>
      </c>
      <c r="L14" s="122">
        <v>0</v>
      </c>
    </row>
    <row r="15" spans="1:12" ht="18.75" customHeight="1" thickBot="1">
      <c r="A15" s="1105"/>
      <c r="B15" s="970"/>
      <c r="C15" s="1095" t="s">
        <v>118</v>
      </c>
      <c r="D15" s="1096"/>
      <c r="E15" s="1097"/>
      <c r="F15" s="123">
        <f t="shared" si="0"/>
        <v>859</v>
      </c>
      <c r="G15" s="123">
        <f t="shared" si="1"/>
        <v>859</v>
      </c>
      <c r="H15" s="123">
        <v>0</v>
      </c>
      <c r="I15" s="123">
        <v>0</v>
      </c>
      <c r="J15" s="123">
        <v>859</v>
      </c>
      <c r="K15" s="123">
        <v>0</v>
      </c>
      <c r="L15" s="907">
        <v>0</v>
      </c>
    </row>
    <row r="16" spans="1:12" ht="18.75" customHeight="1" thickTop="1">
      <c r="A16" s="1098" t="s">
        <v>119</v>
      </c>
      <c r="B16" s="1100" t="s">
        <v>109</v>
      </c>
      <c r="C16" s="1101"/>
      <c r="D16" s="1101"/>
      <c r="E16" s="1102"/>
      <c r="F16" s="234">
        <f>ROUND(F5*1000/$L$2,0)</f>
        <v>1208045</v>
      </c>
      <c r="G16" s="234">
        <f aca="true" t="shared" si="2" ref="G16:L16">ROUND(G5*1000/$L$2,0)</f>
        <v>1208045</v>
      </c>
      <c r="H16" s="234">
        <f t="shared" si="2"/>
        <v>2403</v>
      </c>
      <c r="I16" s="234">
        <f t="shared" si="2"/>
        <v>1537</v>
      </c>
      <c r="J16" s="234">
        <f t="shared" si="2"/>
        <v>1204105</v>
      </c>
      <c r="K16" s="234">
        <f t="shared" si="2"/>
        <v>0</v>
      </c>
      <c r="L16" s="235">
        <f t="shared" si="2"/>
        <v>0</v>
      </c>
    </row>
    <row r="17" spans="1:12" ht="18.75" customHeight="1">
      <c r="A17" s="1098"/>
      <c r="B17" s="960"/>
      <c r="C17" s="1089" t="s">
        <v>110</v>
      </c>
      <c r="D17" s="1094"/>
      <c r="E17" s="1090"/>
      <c r="F17" s="43">
        <f aca="true" t="shared" si="3" ref="F17:L26">ROUND(F6*1000/$L$2,0)</f>
        <v>1186735</v>
      </c>
      <c r="G17" s="43">
        <f t="shared" si="3"/>
        <v>1186735</v>
      </c>
      <c r="H17" s="43">
        <f t="shared" si="3"/>
        <v>2403</v>
      </c>
      <c r="I17" s="43">
        <f t="shared" si="3"/>
        <v>1537</v>
      </c>
      <c r="J17" s="43">
        <f t="shared" si="3"/>
        <v>1182795</v>
      </c>
      <c r="K17" s="43">
        <f t="shared" si="3"/>
        <v>0</v>
      </c>
      <c r="L17" s="122">
        <f t="shared" si="3"/>
        <v>0</v>
      </c>
    </row>
    <row r="18" spans="1:12" ht="18.75" customHeight="1">
      <c r="A18" s="1098"/>
      <c r="B18" s="961"/>
      <c r="C18" s="960"/>
      <c r="D18" s="1089" t="s">
        <v>111</v>
      </c>
      <c r="E18" s="1090"/>
      <c r="F18" s="43">
        <f t="shared" si="3"/>
        <v>1094720</v>
      </c>
      <c r="G18" s="43">
        <f t="shared" si="3"/>
        <v>1094720</v>
      </c>
      <c r="H18" s="43">
        <f t="shared" si="3"/>
        <v>2098</v>
      </c>
      <c r="I18" s="43">
        <f t="shared" si="3"/>
        <v>1537</v>
      </c>
      <c r="J18" s="43">
        <f t="shared" si="3"/>
        <v>1091085</v>
      </c>
      <c r="K18" s="43">
        <f t="shared" si="3"/>
        <v>0</v>
      </c>
      <c r="L18" s="122">
        <f t="shared" si="3"/>
        <v>0</v>
      </c>
    </row>
    <row r="19" spans="1:12" ht="18.75" customHeight="1">
      <c r="A19" s="1098"/>
      <c r="B19" s="961"/>
      <c r="C19" s="961"/>
      <c r="D19" s="960"/>
      <c r="E19" s="50" t="s">
        <v>280</v>
      </c>
      <c r="F19" s="43">
        <f t="shared" si="3"/>
        <v>618184</v>
      </c>
      <c r="G19" s="43">
        <f t="shared" si="3"/>
        <v>618184</v>
      </c>
      <c r="H19" s="43">
        <f t="shared" si="3"/>
        <v>449</v>
      </c>
      <c r="I19" s="43">
        <f t="shared" si="3"/>
        <v>0</v>
      </c>
      <c r="J19" s="43">
        <f t="shared" si="3"/>
        <v>617734</v>
      </c>
      <c r="K19" s="43">
        <f t="shared" si="3"/>
        <v>0</v>
      </c>
      <c r="L19" s="122">
        <f t="shared" si="3"/>
        <v>0</v>
      </c>
    </row>
    <row r="20" spans="1:12" ht="18.75" customHeight="1">
      <c r="A20" s="1098"/>
      <c r="B20" s="961"/>
      <c r="C20" s="961"/>
      <c r="D20" s="966"/>
      <c r="E20" s="11" t="s">
        <v>112</v>
      </c>
      <c r="F20" s="43">
        <f t="shared" si="3"/>
        <v>476536</v>
      </c>
      <c r="G20" s="43">
        <f t="shared" si="3"/>
        <v>476536</v>
      </c>
      <c r="H20" s="43">
        <f t="shared" si="3"/>
        <v>1649</v>
      </c>
      <c r="I20" s="43">
        <f t="shared" si="3"/>
        <v>1537</v>
      </c>
      <c r="J20" s="43">
        <f t="shared" si="3"/>
        <v>473350</v>
      </c>
      <c r="K20" s="43">
        <f t="shared" si="3"/>
        <v>0</v>
      </c>
      <c r="L20" s="122">
        <f t="shared" si="3"/>
        <v>0</v>
      </c>
    </row>
    <row r="21" spans="1:12" ht="18.75" customHeight="1">
      <c r="A21" s="1098"/>
      <c r="B21" s="961"/>
      <c r="C21" s="961"/>
      <c r="D21" s="1089" t="s">
        <v>113</v>
      </c>
      <c r="E21" s="1090"/>
      <c r="F21" s="43">
        <f t="shared" si="3"/>
        <v>20423</v>
      </c>
      <c r="G21" s="43">
        <f t="shared" si="3"/>
        <v>20423</v>
      </c>
      <c r="H21" s="43">
        <f t="shared" si="3"/>
        <v>26</v>
      </c>
      <c r="I21" s="43">
        <f t="shared" si="3"/>
        <v>0</v>
      </c>
      <c r="J21" s="43">
        <f t="shared" si="3"/>
        <v>20397</v>
      </c>
      <c r="K21" s="43">
        <f t="shared" si="3"/>
        <v>0</v>
      </c>
      <c r="L21" s="122">
        <f t="shared" si="3"/>
        <v>0</v>
      </c>
    </row>
    <row r="22" spans="1:12" ht="18.75" customHeight="1">
      <c r="A22" s="1098"/>
      <c r="B22" s="961"/>
      <c r="C22" s="961"/>
      <c r="D22" s="1089" t="s">
        <v>114</v>
      </c>
      <c r="E22" s="1090"/>
      <c r="F22" s="43">
        <f t="shared" si="3"/>
        <v>43542</v>
      </c>
      <c r="G22" s="43">
        <f t="shared" si="3"/>
        <v>43542</v>
      </c>
      <c r="H22" s="43">
        <f t="shared" si="3"/>
        <v>0</v>
      </c>
      <c r="I22" s="43">
        <f t="shared" si="3"/>
        <v>0</v>
      </c>
      <c r="J22" s="43">
        <f t="shared" si="3"/>
        <v>43542</v>
      </c>
      <c r="K22" s="43">
        <f t="shared" si="3"/>
        <v>0</v>
      </c>
      <c r="L22" s="122">
        <f t="shared" si="3"/>
        <v>0</v>
      </c>
    </row>
    <row r="23" spans="1:12" ht="18.75" customHeight="1">
      <c r="A23" s="1098"/>
      <c r="B23" s="961"/>
      <c r="C23" s="961"/>
      <c r="D23" s="1089" t="s">
        <v>115</v>
      </c>
      <c r="E23" s="1090"/>
      <c r="F23" s="43">
        <f t="shared" si="3"/>
        <v>26899</v>
      </c>
      <c r="G23" s="43">
        <f t="shared" si="3"/>
        <v>26899</v>
      </c>
      <c r="H23" s="43">
        <f t="shared" si="3"/>
        <v>249</v>
      </c>
      <c r="I23" s="43">
        <f t="shared" si="3"/>
        <v>0</v>
      </c>
      <c r="J23" s="43">
        <f t="shared" si="3"/>
        <v>26651</v>
      </c>
      <c r="K23" s="43">
        <f t="shared" si="3"/>
        <v>0</v>
      </c>
      <c r="L23" s="122">
        <f t="shared" si="3"/>
        <v>0</v>
      </c>
    </row>
    <row r="24" spans="1:12" ht="18.75" customHeight="1">
      <c r="A24" s="1098"/>
      <c r="B24" s="961"/>
      <c r="C24" s="966"/>
      <c r="D24" s="1089" t="s">
        <v>116</v>
      </c>
      <c r="E24" s="1090"/>
      <c r="F24" s="43">
        <f t="shared" si="3"/>
        <v>1151</v>
      </c>
      <c r="G24" s="43">
        <f t="shared" si="3"/>
        <v>1151</v>
      </c>
      <c r="H24" s="43">
        <f t="shared" si="3"/>
        <v>31</v>
      </c>
      <c r="I24" s="43">
        <f t="shared" si="3"/>
        <v>0</v>
      </c>
      <c r="J24" s="43">
        <f t="shared" si="3"/>
        <v>1121</v>
      </c>
      <c r="K24" s="43">
        <f t="shared" si="3"/>
        <v>0</v>
      </c>
      <c r="L24" s="122">
        <f t="shared" si="3"/>
        <v>0</v>
      </c>
    </row>
    <row r="25" spans="1:12" ht="18.75" customHeight="1">
      <c r="A25" s="1098"/>
      <c r="B25" s="961"/>
      <c r="C25" s="1089" t="s">
        <v>117</v>
      </c>
      <c r="D25" s="1094"/>
      <c r="E25" s="1090"/>
      <c r="F25" s="43">
        <f t="shared" si="3"/>
        <v>20618</v>
      </c>
      <c r="G25" s="43">
        <f t="shared" si="3"/>
        <v>20618</v>
      </c>
      <c r="H25" s="43">
        <f t="shared" si="3"/>
        <v>0</v>
      </c>
      <c r="I25" s="43">
        <f t="shared" si="3"/>
        <v>0</v>
      </c>
      <c r="J25" s="43">
        <f t="shared" si="3"/>
        <v>20618</v>
      </c>
      <c r="K25" s="43">
        <f t="shared" si="3"/>
        <v>0</v>
      </c>
      <c r="L25" s="122">
        <f t="shared" si="3"/>
        <v>0</v>
      </c>
    </row>
    <row r="26" spans="1:12" ht="18.75" customHeight="1" thickBot="1">
      <c r="A26" s="1099"/>
      <c r="B26" s="962"/>
      <c r="C26" s="1091" t="s">
        <v>118</v>
      </c>
      <c r="D26" s="1092"/>
      <c r="E26" s="1093"/>
      <c r="F26" s="236">
        <f t="shared" si="3"/>
        <v>692</v>
      </c>
      <c r="G26" s="236">
        <f t="shared" si="3"/>
        <v>692</v>
      </c>
      <c r="H26" s="236">
        <f t="shared" si="3"/>
        <v>0</v>
      </c>
      <c r="I26" s="236">
        <f t="shared" si="3"/>
        <v>0</v>
      </c>
      <c r="J26" s="236">
        <f t="shared" si="3"/>
        <v>692</v>
      </c>
      <c r="K26" s="236">
        <f t="shared" si="3"/>
        <v>0</v>
      </c>
      <c r="L26" s="237">
        <f t="shared" si="3"/>
        <v>0</v>
      </c>
    </row>
    <row r="27" ht="19.5" customHeight="1">
      <c r="A27" s="7" t="s">
        <v>120</v>
      </c>
    </row>
  </sheetData>
  <sheetProtection/>
  <mergeCells count="32">
    <mergeCell ref="D21:E21"/>
    <mergeCell ref="D22:E22"/>
    <mergeCell ref="D23:E23"/>
    <mergeCell ref="D24:E24"/>
    <mergeCell ref="C25:E25"/>
    <mergeCell ref="C26:E26"/>
    <mergeCell ref="D13:E13"/>
    <mergeCell ref="C14:E14"/>
    <mergeCell ref="C15:E15"/>
    <mergeCell ref="A16:A26"/>
    <mergeCell ref="B16:E16"/>
    <mergeCell ref="B17:B26"/>
    <mergeCell ref="C17:E17"/>
    <mergeCell ref="C18:C24"/>
    <mergeCell ref="D18:E18"/>
    <mergeCell ref="D19:D20"/>
    <mergeCell ref="A5:A15"/>
    <mergeCell ref="B5:E5"/>
    <mergeCell ref="B6:B15"/>
    <mergeCell ref="C6:E6"/>
    <mergeCell ref="C7:C13"/>
    <mergeCell ref="D7:E7"/>
    <mergeCell ref="D8:D9"/>
    <mergeCell ref="D10:E10"/>
    <mergeCell ref="D11:E11"/>
    <mergeCell ref="D12:E12"/>
    <mergeCell ref="A1:H1"/>
    <mergeCell ref="A3:E4"/>
    <mergeCell ref="F3:F4"/>
    <mergeCell ref="G3:J3"/>
    <mergeCell ref="K3:K4"/>
    <mergeCell ref="L3:L4"/>
  </mergeCells>
  <printOptions/>
  <pageMargins left="0.75" right="0.75" top="1" bottom="1" header="0.512" footer="0.512"/>
  <pageSetup fitToHeight="1" fitToWidth="1" horizontalDpi="300" verticalDpi="300" orientation="landscape" paperSize="9" scale="95" r:id="rId1"/>
</worksheet>
</file>

<file path=xl/worksheets/sheet18.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
      <selection activeCell="O28" sqref="O28"/>
    </sheetView>
  </sheetViews>
  <sheetFormatPr defaultColWidth="9.00390625" defaultRowHeight="13.5"/>
  <cols>
    <col min="1" max="1" width="3.625" style="7" customWidth="1"/>
    <col min="2" max="2" width="2.375" style="7" customWidth="1"/>
    <col min="3" max="3" width="24.375" style="7" customWidth="1"/>
    <col min="4" max="4" width="12.125" style="7" customWidth="1"/>
    <col min="5" max="5" width="11.875" style="7" customWidth="1"/>
    <col min="6" max="6" width="9.625" style="7" customWidth="1"/>
    <col min="7" max="7" width="11.75390625" style="7" customWidth="1"/>
    <col min="8" max="8" width="12.125" style="7" customWidth="1"/>
    <col min="9" max="9" width="11.00390625" style="7" customWidth="1"/>
    <col min="10" max="11" width="9.75390625" style="7" customWidth="1"/>
    <col min="12" max="12" width="12.125" style="7" customWidth="1"/>
    <col min="13" max="13" width="12.375" style="7" customWidth="1"/>
    <col min="14" max="14" width="11.375" style="7" customWidth="1"/>
    <col min="15" max="15" width="9.75390625" style="7" customWidth="1"/>
    <col min="16" max="16" width="12.75390625" style="7" bestFit="1" customWidth="1"/>
    <col min="17" max="16384" width="9.00390625" style="7" customWidth="1"/>
  </cols>
  <sheetData>
    <row r="1" spans="1:8" ht="21" customHeight="1">
      <c r="A1" s="1112" t="s">
        <v>307</v>
      </c>
      <c r="B1" s="1112"/>
      <c r="C1" s="1112"/>
      <c r="D1" s="1112"/>
      <c r="E1" s="1112"/>
      <c r="F1" s="1112"/>
      <c r="G1" s="1112"/>
      <c r="H1" s="1112"/>
    </row>
    <row r="2" spans="14:15" ht="21" customHeight="1" thickBot="1">
      <c r="N2" s="22"/>
      <c r="O2" s="22" t="s">
        <v>304</v>
      </c>
    </row>
    <row r="3" spans="1:15" ht="24.75" customHeight="1">
      <c r="A3" s="1113" t="s">
        <v>131</v>
      </c>
      <c r="B3" s="1114"/>
      <c r="C3" s="1115"/>
      <c r="D3" s="1055" t="s">
        <v>295</v>
      </c>
      <c r="E3" s="1050" t="s">
        <v>133</v>
      </c>
      <c r="F3" s="1051"/>
      <c r="G3" s="1051"/>
      <c r="H3" s="1051"/>
      <c r="I3" s="1055" t="s">
        <v>107</v>
      </c>
      <c r="J3" s="1083" t="s">
        <v>265</v>
      </c>
      <c r="K3" s="1083" t="s">
        <v>283</v>
      </c>
      <c r="L3" s="1050" t="s">
        <v>134</v>
      </c>
      <c r="M3" s="1051"/>
      <c r="N3" s="1051"/>
      <c r="O3" s="1110" t="s">
        <v>305</v>
      </c>
    </row>
    <row r="4" spans="1:15" ht="24.75" customHeight="1" thickBot="1">
      <c r="A4" s="1116"/>
      <c r="B4" s="1117"/>
      <c r="C4" s="1118"/>
      <c r="D4" s="1109"/>
      <c r="E4" s="53" t="s">
        <v>135</v>
      </c>
      <c r="F4" s="181" t="s">
        <v>268</v>
      </c>
      <c r="G4" s="181" t="s">
        <v>263</v>
      </c>
      <c r="H4" s="182" t="s">
        <v>269</v>
      </c>
      <c r="I4" s="1109"/>
      <c r="J4" s="1122"/>
      <c r="K4" s="1123"/>
      <c r="L4" s="47" t="s">
        <v>136</v>
      </c>
      <c r="M4" s="54" t="s">
        <v>137</v>
      </c>
      <c r="N4" s="54" t="s">
        <v>138</v>
      </c>
      <c r="O4" s="1121"/>
    </row>
    <row r="5" spans="1:16" ht="21" customHeight="1">
      <c r="A5" s="1103" t="s">
        <v>139</v>
      </c>
      <c r="B5" s="1106" t="s">
        <v>140</v>
      </c>
      <c r="C5" s="1108"/>
      <c r="D5" s="230">
        <f>E5+I5+J5+K5</f>
        <v>1856305</v>
      </c>
      <c r="E5" s="230">
        <f>SUM(F5:H5)</f>
        <v>1856305</v>
      </c>
      <c r="F5" s="230">
        <f>SUM(F6:F15)</f>
        <v>31458</v>
      </c>
      <c r="G5" s="230">
        <f aca="true" t="shared" si="0" ref="G5:N5">SUM(G6:G15)</f>
        <v>1824847</v>
      </c>
      <c r="H5" s="230">
        <f t="shared" si="0"/>
        <v>0</v>
      </c>
      <c r="I5" s="230">
        <f t="shared" si="0"/>
        <v>0</v>
      </c>
      <c r="J5" s="230">
        <f t="shared" si="0"/>
        <v>0</v>
      </c>
      <c r="K5" s="230">
        <f t="shared" si="0"/>
        <v>0</v>
      </c>
      <c r="L5" s="230">
        <f t="shared" si="0"/>
        <v>1646282</v>
      </c>
      <c r="M5" s="230">
        <f>SUM(M6:M15)</f>
        <v>193688</v>
      </c>
      <c r="N5" s="399">
        <f t="shared" si="0"/>
        <v>16335</v>
      </c>
      <c r="O5" s="403"/>
      <c r="P5" s="93"/>
    </row>
    <row r="6" spans="1:16" ht="21" customHeight="1">
      <c r="A6" s="1104"/>
      <c r="B6" s="960"/>
      <c r="C6" s="50" t="s">
        <v>141</v>
      </c>
      <c r="D6" s="16">
        <f aca="true" t="shared" si="1" ref="D6:D27">E6+I6+J6+K6</f>
        <v>0</v>
      </c>
      <c r="E6" s="16">
        <f>SUM(F6:H6)</f>
        <v>0</v>
      </c>
      <c r="F6" s="16">
        <f>'表２１－２'!I26</f>
        <v>0</v>
      </c>
      <c r="G6" s="16">
        <f>'表２１－２'!M26</f>
        <v>0</v>
      </c>
      <c r="H6" s="16">
        <f>'表２１－２'!Q26</f>
        <v>0</v>
      </c>
      <c r="I6" s="16">
        <f>'表２１－２'!U26</f>
        <v>0</v>
      </c>
      <c r="J6" s="16">
        <f>'表２１－２'!Y26</f>
        <v>0</v>
      </c>
      <c r="K6" s="16">
        <f>'表２１－２'!E63</f>
        <v>0</v>
      </c>
      <c r="L6" s="16">
        <f>'表２１－２'!I63</f>
        <v>0</v>
      </c>
      <c r="M6" s="16">
        <f>'表２１－２'!M63</f>
        <v>0</v>
      </c>
      <c r="N6" s="17">
        <f>'表２１－２'!Q63</f>
        <v>0</v>
      </c>
      <c r="O6" s="404"/>
      <c r="P6" s="252"/>
    </row>
    <row r="7" spans="1:16" ht="21" customHeight="1">
      <c r="A7" s="1104"/>
      <c r="B7" s="961"/>
      <c r="C7" s="50" t="s">
        <v>142</v>
      </c>
      <c r="D7" s="16">
        <f t="shared" si="1"/>
        <v>237396</v>
      </c>
      <c r="E7" s="16">
        <f aca="true" t="shared" si="2" ref="E7:E28">SUM(F7:H7)</f>
        <v>237396</v>
      </c>
      <c r="F7" s="16">
        <f>'表２１－２'!I27</f>
        <v>0</v>
      </c>
      <c r="G7" s="16">
        <f>'表２１－２'!M27</f>
        <v>237396</v>
      </c>
      <c r="H7" s="16">
        <f>'表２１－２'!Q27</f>
        <v>0</v>
      </c>
      <c r="I7" s="16">
        <f>'表２１－２'!U27</f>
        <v>0</v>
      </c>
      <c r="J7" s="16">
        <f>'表２１－２'!Y27</f>
        <v>0</v>
      </c>
      <c r="K7" s="16">
        <f>'表２１－２'!E64</f>
        <v>0</v>
      </c>
      <c r="L7" s="16">
        <f>'表２１－２'!I64</f>
        <v>204032</v>
      </c>
      <c r="M7" s="16">
        <f>'表２１－２'!M64</f>
        <v>33364</v>
      </c>
      <c r="N7" s="17">
        <f>'表２１－２'!Q64</f>
        <v>0</v>
      </c>
      <c r="O7" s="404"/>
      <c r="P7" s="252"/>
    </row>
    <row r="8" spans="1:16" ht="21" customHeight="1">
      <c r="A8" s="1104"/>
      <c r="B8" s="961"/>
      <c r="C8" s="50" t="s">
        <v>143</v>
      </c>
      <c r="D8" s="16">
        <f t="shared" si="1"/>
        <v>1255454</v>
      </c>
      <c r="E8" s="16">
        <f t="shared" si="2"/>
        <v>1255454</v>
      </c>
      <c r="F8" s="16">
        <f>'表２１－２'!I28</f>
        <v>4237</v>
      </c>
      <c r="G8" s="16">
        <f>'表２１－２'!M28</f>
        <v>1251217</v>
      </c>
      <c r="H8" s="16">
        <f>'表２１－２'!Q28</f>
        <v>0</v>
      </c>
      <c r="I8" s="16">
        <f>'表２１－２'!U28</f>
        <v>0</v>
      </c>
      <c r="J8" s="16">
        <f>'表２１－２'!Y28</f>
        <v>0</v>
      </c>
      <c r="K8" s="16">
        <f>'表２１－２'!E65</f>
        <v>0</v>
      </c>
      <c r="L8" s="16">
        <f>'表２１－２'!I65</f>
        <v>1078795</v>
      </c>
      <c r="M8" s="16">
        <f>'表２１－２'!M65</f>
        <v>160324</v>
      </c>
      <c r="N8" s="17">
        <f>'表２１－２'!Q65</f>
        <v>16335</v>
      </c>
      <c r="O8" s="404"/>
      <c r="P8" s="252"/>
    </row>
    <row r="9" spans="1:16" ht="21" customHeight="1">
      <c r="A9" s="1104"/>
      <c r="B9" s="961"/>
      <c r="C9" s="50" t="s">
        <v>144</v>
      </c>
      <c r="D9" s="16">
        <f t="shared" si="1"/>
        <v>0</v>
      </c>
      <c r="E9" s="16">
        <f t="shared" si="2"/>
        <v>0</v>
      </c>
      <c r="F9" s="16">
        <f>'表２１－２'!I29</f>
        <v>0</v>
      </c>
      <c r="G9" s="16">
        <f>'表２１－２'!M29</f>
        <v>0</v>
      </c>
      <c r="H9" s="16">
        <f>'表２１－２'!Q29</f>
        <v>0</v>
      </c>
      <c r="I9" s="16">
        <f>'表２１－２'!U29</f>
        <v>0</v>
      </c>
      <c r="J9" s="16">
        <f>'表２１－２'!Y29</f>
        <v>0</v>
      </c>
      <c r="K9" s="16">
        <f>'表２１－２'!E66</f>
        <v>0</v>
      </c>
      <c r="L9" s="16">
        <f>'表２１－２'!I66</f>
        <v>0</v>
      </c>
      <c r="M9" s="16">
        <f>'表２１－２'!M66</f>
        <v>0</v>
      </c>
      <c r="N9" s="17">
        <f>'表２１－２'!Q66</f>
        <v>0</v>
      </c>
      <c r="O9" s="404"/>
      <c r="P9" s="252"/>
    </row>
    <row r="10" spans="1:16" ht="21" customHeight="1">
      <c r="A10" s="1104"/>
      <c r="B10" s="961"/>
      <c r="C10" s="50" t="s">
        <v>145</v>
      </c>
      <c r="D10" s="16">
        <f t="shared" si="1"/>
        <v>36477</v>
      </c>
      <c r="E10" s="16">
        <f t="shared" si="2"/>
        <v>36477</v>
      </c>
      <c r="F10" s="16">
        <f>'表２１－２'!I30</f>
        <v>0</v>
      </c>
      <c r="G10" s="16">
        <f>'表２１－２'!M30</f>
        <v>36477</v>
      </c>
      <c r="H10" s="16">
        <f>'表２１－２'!Q30</f>
        <v>0</v>
      </c>
      <c r="I10" s="16">
        <f>'表２１－２'!U30</f>
        <v>0</v>
      </c>
      <c r="J10" s="16">
        <f>'表２１－２'!Y30</f>
        <v>0</v>
      </c>
      <c r="K10" s="16">
        <f>'表２１－２'!E67</f>
        <v>0</v>
      </c>
      <c r="L10" s="16">
        <f>'表２１－２'!I67</f>
        <v>36477</v>
      </c>
      <c r="M10" s="16">
        <f>'表２１－２'!M67</f>
        <v>0</v>
      </c>
      <c r="N10" s="17">
        <f>'表２１－２'!Q67</f>
        <v>0</v>
      </c>
      <c r="O10" s="404"/>
      <c r="P10" s="252"/>
    </row>
    <row r="11" spans="1:16" ht="21" customHeight="1">
      <c r="A11" s="1104"/>
      <c r="B11" s="961"/>
      <c r="C11" s="50" t="s">
        <v>146</v>
      </c>
      <c r="D11" s="16">
        <f t="shared" si="1"/>
        <v>0</v>
      </c>
      <c r="E11" s="16">
        <f t="shared" si="2"/>
        <v>0</v>
      </c>
      <c r="F11" s="16">
        <f>'表２１－２'!I31</f>
        <v>0</v>
      </c>
      <c r="G11" s="16">
        <f>'表２１－２'!M31</f>
        <v>0</v>
      </c>
      <c r="H11" s="16">
        <f>'表２１－２'!Q31</f>
        <v>0</v>
      </c>
      <c r="I11" s="16">
        <f>'表２１－２'!U31</f>
        <v>0</v>
      </c>
      <c r="J11" s="16">
        <f>'表２１－２'!Y31</f>
        <v>0</v>
      </c>
      <c r="K11" s="16">
        <f>'表２１－２'!E68</f>
        <v>0</v>
      </c>
      <c r="L11" s="16">
        <f>'表２１－２'!I68</f>
        <v>0</v>
      </c>
      <c r="M11" s="16">
        <f>'表２１－２'!M68</f>
        <v>0</v>
      </c>
      <c r="N11" s="17">
        <f>'表２１－２'!Q68</f>
        <v>0</v>
      </c>
      <c r="O11" s="404"/>
      <c r="P11" s="252"/>
    </row>
    <row r="12" spans="1:16" ht="21" customHeight="1">
      <c r="A12" s="1104"/>
      <c r="B12" s="961"/>
      <c r="C12" s="50" t="s">
        <v>147</v>
      </c>
      <c r="D12" s="16">
        <f t="shared" si="1"/>
        <v>0</v>
      </c>
      <c r="E12" s="16">
        <f t="shared" si="2"/>
        <v>0</v>
      </c>
      <c r="F12" s="16">
        <f>'表２１－２'!I32</f>
        <v>0</v>
      </c>
      <c r="G12" s="16">
        <f>'表２１－２'!M32</f>
        <v>0</v>
      </c>
      <c r="H12" s="16">
        <f>'表２１－２'!Q32</f>
        <v>0</v>
      </c>
      <c r="I12" s="16">
        <f>'表２１－２'!U32</f>
        <v>0</v>
      </c>
      <c r="J12" s="16">
        <f>'表２１－２'!Y32</f>
        <v>0</v>
      </c>
      <c r="K12" s="16">
        <f>'表２１－２'!E69</f>
        <v>0</v>
      </c>
      <c r="L12" s="16">
        <f>'表２１－２'!I69</f>
        <v>0</v>
      </c>
      <c r="M12" s="16">
        <f>'表２１－２'!M69</f>
        <v>0</v>
      </c>
      <c r="N12" s="17">
        <f>'表２１－２'!Q69</f>
        <v>0</v>
      </c>
      <c r="O12" s="404"/>
      <c r="P12" s="252"/>
    </row>
    <row r="13" spans="1:16" ht="21" customHeight="1">
      <c r="A13" s="1104"/>
      <c r="B13" s="961"/>
      <c r="C13" s="11" t="s">
        <v>148</v>
      </c>
      <c r="D13" s="16">
        <f t="shared" si="1"/>
        <v>155275</v>
      </c>
      <c r="E13" s="16">
        <f t="shared" si="2"/>
        <v>155275</v>
      </c>
      <c r="F13" s="16">
        <f>'表２１－２'!I33</f>
        <v>0</v>
      </c>
      <c r="G13" s="16">
        <f>'表２１－２'!M33</f>
        <v>155275</v>
      </c>
      <c r="H13" s="16">
        <f>'表２１－２'!Q33</f>
        <v>0</v>
      </c>
      <c r="I13" s="16">
        <f>'表２１－２'!U33</f>
        <v>0</v>
      </c>
      <c r="J13" s="16">
        <f>'表２１－２'!Y33</f>
        <v>0</v>
      </c>
      <c r="K13" s="16">
        <f>'表２１－２'!E70</f>
        <v>0</v>
      </c>
      <c r="L13" s="16">
        <f>'表２１－２'!I70</f>
        <v>155275</v>
      </c>
      <c r="M13" s="16">
        <f>'表２１－２'!M70</f>
        <v>0</v>
      </c>
      <c r="N13" s="17">
        <f>'表２１－２'!Q70</f>
        <v>0</v>
      </c>
      <c r="O13" s="404"/>
      <c r="P13" s="252"/>
    </row>
    <row r="14" spans="1:16" ht="25.5" customHeight="1">
      <c r="A14" s="1104"/>
      <c r="B14" s="961"/>
      <c r="C14" s="55" t="s">
        <v>149</v>
      </c>
      <c r="D14" s="16">
        <f t="shared" si="1"/>
        <v>99980</v>
      </c>
      <c r="E14" s="16">
        <f t="shared" si="2"/>
        <v>99980</v>
      </c>
      <c r="F14" s="16">
        <f>'表２１－２'!I34</f>
        <v>1835</v>
      </c>
      <c r="G14" s="16">
        <f>'表２１－２'!M34</f>
        <v>98145</v>
      </c>
      <c r="H14" s="16">
        <f>'表２１－２'!Q34</f>
        <v>0</v>
      </c>
      <c r="I14" s="16">
        <f>'表２１－２'!U34</f>
        <v>0</v>
      </c>
      <c r="J14" s="16">
        <f>'表２１－２'!Y34</f>
        <v>0</v>
      </c>
      <c r="K14" s="16">
        <f>'表２１－２'!E71</f>
        <v>0</v>
      </c>
      <c r="L14" s="16">
        <f>'表２１－２'!I71</f>
        <v>99980</v>
      </c>
      <c r="M14" s="16">
        <f>'表２１－２'!M71</f>
        <v>0</v>
      </c>
      <c r="N14" s="17">
        <f>'表２１－２'!Q71</f>
        <v>0</v>
      </c>
      <c r="O14" s="404"/>
      <c r="P14" s="252"/>
    </row>
    <row r="15" spans="1:16" ht="21" customHeight="1">
      <c r="A15" s="1104"/>
      <c r="B15" s="966"/>
      <c r="C15" s="50" t="s">
        <v>150</v>
      </c>
      <c r="D15" s="16">
        <f t="shared" si="1"/>
        <v>71723</v>
      </c>
      <c r="E15" s="16">
        <f t="shared" si="2"/>
        <v>71723</v>
      </c>
      <c r="F15" s="16">
        <f>'表２１－２'!I35</f>
        <v>25386</v>
      </c>
      <c r="G15" s="16">
        <f>'表２１－２'!M35</f>
        <v>46337</v>
      </c>
      <c r="H15" s="16">
        <f>'表２１－２'!Q35</f>
        <v>0</v>
      </c>
      <c r="I15" s="16">
        <f>'表２１－２'!U35</f>
        <v>0</v>
      </c>
      <c r="J15" s="16">
        <f>'表２１－２'!Y35</f>
        <v>0</v>
      </c>
      <c r="K15" s="16">
        <f>'表２１－２'!E72</f>
        <v>0</v>
      </c>
      <c r="L15" s="16">
        <f>'表２１－２'!I72</f>
        <v>71723</v>
      </c>
      <c r="M15" s="16">
        <f>'表２１－２'!M72</f>
        <v>0</v>
      </c>
      <c r="N15" s="17">
        <f>'表２１－２'!Q72</f>
        <v>0</v>
      </c>
      <c r="O15" s="910"/>
      <c r="P15" s="252"/>
    </row>
    <row r="16" spans="1:16" ht="21" customHeight="1" thickBot="1">
      <c r="A16" s="1105"/>
      <c r="B16" s="1095" t="s">
        <v>151</v>
      </c>
      <c r="C16" s="1097"/>
      <c r="D16" s="35">
        <f>E16+I16+J16+K16</f>
        <v>4847648</v>
      </c>
      <c r="E16" s="35">
        <f>SUM(F16:H16)</f>
        <v>4831353</v>
      </c>
      <c r="F16" s="35">
        <f>'表２１－２'!I37</f>
        <v>71261</v>
      </c>
      <c r="G16" s="35">
        <f>'表２１－２'!M37</f>
        <v>4760092</v>
      </c>
      <c r="H16" s="35">
        <f>'表２１－２'!Q37</f>
        <v>0</v>
      </c>
      <c r="I16" s="35">
        <f>'表２１－２'!U37</f>
        <v>0</v>
      </c>
      <c r="J16" s="35">
        <f>'表２１－２'!Y37</f>
        <v>16295</v>
      </c>
      <c r="K16" s="175"/>
      <c r="L16" s="35">
        <f>'表２１－２'!I74</f>
        <v>4841167</v>
      </c>
      <c r="M16" s="35">
        <f>'表２１－２'!M74</f>
        <v>5879</v>
      </c>
      <c r="N16" s="400">
        <f>'表２１－２'!Q74</f>
        <v>602</v>
      </c>
      <c r="O16" s="907">
        <v>50524</v>
      </c>
      <c r="P16" s="252"/>
    </row>
    <row r="17" spans="1:16" ht="21" customHeight="1" thickTop="1">
      <c r="A17" s="1119" t="s">
        <v>152</v>
      </c>
      <c r="B17" s="56" t="s">
        <v>140</v>
      </c>
      <c r="C17" s="56"/>
      <c r="D17" s="49">
        <f>E17+I17+J17+K17</f>
        <v>15551495</v>
      </c>
      <c r="E17" s="49">
        <f t="shared" si="2"/>
        <v>14546508</v>
      </c>
      <c r="F17" s="390">
        <f>SUM(F18:F27)</f>
        <v>483199</v>
      </c>
      <c r="G17" s="49">
        <f aca="true" t="shared" si="3" ref="G17:N17">SUM(G18:G27)</f>
        <v>82407</v>
      </c>
      <c r="H17" s="49">
        <f t="shared" si="3"/>
        <v>13980902</v>
      </c>
      <c r="I17" s="49">
        <f t="shared" si="3"/>
        <v>991100</v>
      </c>
      <c r="J17" s="49">
        <f t="shared" si="3"/>
        <v>1482</v>
      </c>
      <c r="K17" s="49">
        <f t="shared" si="3"/>
        <v>12405</v>
      </c>
      <c r="L17" s="49">
        <f t="shared" si="3"/>
        <v>11482868</v>
      </c>
      <c r="M17" s="49">
        <f t="shared" si="3"/>
        <v>2426554</v>
      </c>
      <c r="N17" s="401">
        <f t="shared" si="3"/>
        <v>1642073</v>
      </c>
      <c r="O17" s="911"/>
      <c r="P17" s="256"/>
    </row>
    <row r="18" spans="1:16" ht="21" customHeight="1">
      <c r="A18" s="1098"/>
      <c r="B18" s="960"/>
      <c r="C18" s="50" t="s">
        <v>141</v>
      </c>
      <c r="D18" s="49">
        <f t="shared" si="1"/>
        <v>4642729</v>
      </c>
      <c r="E18" s="49">
        <f t="shared" si="2"/>
        <v>4309494</v>
      </c>
      <c r="F18" s="49">
        <f>'表２１－３'!I26</f>
        <v>53427</v>
      </c>
      <c r="G18" s="49">
        <f>'表２１－３'!M26</f>
        <v>2339</v>
      </c>
      <c r="H18" s="49">
        <f>'表２１－３'!Q26</f>
        <v>4253728</v>
      </c>
      <c r="I18" s="49">
        <f>'表２１－３'!U26</f>
        <v>321100</v>
      </c>
      <c r="J18" s="49">
        <f>'表２１－３'!Y26</f>
        <v>0</v>
      </c>
      <c r="K18" s="49">
        <f>'表２１－３'!E63</f>
        <v>12135</v>
      </c>
      <c r="L18" s="49">
        <f>'表２１－３'!I63</f>
        <v>3277202</v>
      </c>
      <c r="M18" s="49">
        <f>'表２１－３'!M63</f>
        <v>955415</v>
      </c>
      <c r="N18" s="17">
        <f>'表２１－３'!Q63</f>
        <v>410112</v>
      </c>
      <c r="O18" s="406"/>
      <c r="P18" s="93"/>
    </row>
    <row r="19" spans="1:16" ht="21" customHeight="1">
      <c r="A19" s="1098"/>
      <c r="B19" s="961"/>
      <c r="C19" s="50" t="s">
        <v>142</v>
      </c>
      <c r="D19" s="49">
        <f t="shared" si="1"/>
        <v>2138882</v>
      </c>
      <c r="E19" s="49">
        <f t="shared" si="2"/>
        <v>2136462</v>
      </c>
      <c r="F19" s="49">
        <f>'表２１－３'!I27</f>
        <v>2150</v>
      </c>
      <c r="G19" s="49">
        <f>'表２１－３'!M27</f>
        <v>0</v>
      </c>
      <c r="H19" s="49">
        <f>'表２１－３'!Q27</f>
        <v>2134312</v>
      </c>
      <c r="I19" s="49">
        <f>'表２１－３'!U27</f>
        <v>1300</v>
      </c>
      <c r="J19" s="49">
        <f>'表２１－３'!Y27</f>
        <v>1120</v>
      </c>
      <c r="K19" s="49">
        <f>'表２１－３'!E64</f>
        <v>0</v>
      </c>
      <c r="L19" s="49">
        <f>'表２１－３'!I64</f>
        <v>1741511</v>
      </c>
      <c r="M19" s="49">
        <f>'表２１－３'!M64</f>
        <v>136523</v>
      </c>
      <c r="N19" s="17">
        <f>'表２１－３'!Q64</f>
        <v>260848</v>
      </c>
      <c r="O19" s="406"/>
      <c r="P19" s="256"/>
    </row>
    <row r="20" spans="1:16" ht="21" customHeight="1">
      <c r="A20" s="1098"/>
      <c r="B20" s="961"/>
      <c r="C20" s="50" t="s">
        <v>143</v>
      </c>
      <c r="D20" s="49">
        <f t="shared" si="1"/>
        <v>1208141</v>
      </c>
      <c r="E20" s="49">
        <f t="shared" si="2"/>
        <v>1126191</v>
      </c>
      <c r="F20" s="49">
        <f>'表２１－３'!I28</f>
        <v>39299</v>
      </c>
      <c r="G20" s="49">
        <f>'表２１－３'!M28</f>
        <v>2045</v>
      </c>
      <c r="H20" s="49">
        <f>'表２１－３'!Q28</f>
        <v>1084847</v>
      </c>
      <c r="I20" s="49">
        <f>'表２１－３'!U28</f>
        <v>81800</v>
      </c>
      <c r="J20" s="49">
        <f>'表２１－３'!Y28</f>
        <v>0</v>
      </c>
      <c r="K20" s="49">
        <f>'表２１－３'!E65</f>
        <v>150</v>
      </c>
      <c r="L20" s="49">
        <f>'表２１－３'!I65</f>
        <v>1050334</v>
      </c>
      <c r="M20" s="49">
        <f>'表２１－３'!M65</f>
        <v>139034</v>
      </c>
      <c r="N20" s="17">
        <f>'表２１－３'!Q65</f>
        <v>18773</v>
      </c>
      <c r="O20" s="406"/>
      <c r="P20" s="256"/>
    </row>
    <row r="21" spans="1:16" ht="21" customHeight="1">
      <c r="A21" s="1098"/>
      <c r="B21" s="961"/>
      <c r="C21" s="50" t="s">
        <v>144</v>
      </c>
      <c r="D21" s="49">
        <f t="shared" si="1"/>
        <v>3244754</v>
      </c>
      <c r="E21" s="49">
        <f t="shared" si="2"/>
        <v>2888233</v>
      </c>
      <c r="F21" s="49">
        <f>'表２１－３'!I29</f>
        <v>300</v>
      </c>
      <c r="G21" s="49">
        <f>'表２１－３'!M29</f>
        <v>0</v>
      </c>
      <c r="H21" s="49">
        <f>'表２１－３'!Q29</f>
        <v>2887933</v>
      </c>
      <c r="I21" s="49">
        <f>'表２１－３'!U29</f>
        <v>356500</v>
      </c>
      <c r="J21" s="49">
        <f>'表２１－３'!Y29</f>
        <v>21</v>
      </c>
      <c r="K21" s="49">
        <f>'表２１－３'!E66</f>
        <v>0</v>
      </c>
      <c r="L21" s="49">
        <f>'表２１－３'!I66</f>
        <v>1867900</v>
      </c>
      <c r="M21" s="49">
        <f>'表２１－３'!M66</f>
        <v>531640</v>
      </c>
      <c r="N21" s="17">
        <f>'表２１－３'!Q66</f>
        <v>845214</v>
      </c>
      <c r="O21" s="406"/>
      <c r="P21" s="256"/>
    </row>
    <row r="22" spans="1:16" ht="21" customHeight="1">
      <c r="A22" s="1098"/>
      <c r="B22" s="961"/>
      <c r="C22" s="50" t="s">
        <v>145</v>
      </c>
      <c r="D22" s="49">
        <f t="shared" si="1"/>
        <v>255337</v>
      </c>
      <c r="E22" s="49">
        <f t="shared" si="2"/>
        <v>248537</v>
      </c>
      <c r="F22" s="49">
        <f>'表２１－３'!I30</f>
        <v>73</v>
      </c>
      <c r="G22" s="49">
        <f>'表２１－３'!M30</f>
        <v>147</v>
      </c>
      <c r="H22" s="49">
        <f>'表２１－３'!Q30</f>
        <v>248317</v>
      </c>
      <c r="I22" s="49">
        <f>'表２１－３'!U30</f>
        <v>6800</v>
      </c>
      <c r="J22" s="49">
        <f>'表２１－３'!Y30</f>
        <v>0</v>
      </c>
      <c r="K22" s="49">
        <f>'表２１－３'!E67</f>
        <v>0</v>
      </c>
      <c r="L22" s="49">
        <f>'表２１－３'!I67</f>
        <v>241090</v>
      </c>
      <c r="M22" s="49">
        <f>'表２１－３'!M67</f>
        <v>9854</v>
      </c>
      <c r="N22" s="17">
        <f>'表２１－３'!Q67</f>
        <v>4393</v>
      </c>
      <c r="O22" s="406"/>
      <c r="P22" s="256"/>
    </row>
    <row r="23" spans="1:16" ht="21" customHeight="1">
      <c r="A23" s="1098"/>
      <c r="B23" s="961"/>
      <c r="C23" s="50" t="s">
        <v>146</v>
      </c>
      <c r="D23" s="49">
        <f t="shared" si="1"/>
        <v>0</v>
      </c>
      <c r="E23" s="49">
        <f t="shared" si="2"/>
        <v>0</v>
      </c>
      <c r="F23" s="49">
        <f>'表２１－３'!I31</f>
        <v>0</v>
      </c>
      <c r="G23" s="49">
        <f>'表２１－３'!M31</f>
        <v>0</v>
      </c>
      <c r="H23" s="49">
        <f>'表２１－３'!Q31</f>
        <v>0</v>
      </c>
      <c r="I23" s="49">
        <f>'表２１－３'!U31</f>
        <v>0</v>
      </c>
      <c r="J23" s="49">
        <f>'表２１－３'!Y31</f>
        <v>0</v>
      </c>
      <c r="K23" s="49">
        <f>'表２１－３'!E68</f>
        <v>0</v>
      </c>
      <c r="L23" s="49">
        <f>'表２１－３'!I68</f>
        <v>0</v>
      </c>
      <c r="M23" s="49">
        <f>'表２１－３'!M68</f>
        <v>0</v>
      </c>
      <c r="N23" s="17">
        <f>'表２１－３'!Q68</f>
        <v>0</v>
      </c>
      <c r="O23" s="406"/>
      <c r="P23" s="256"/>
    </row>
    <row r="24" spans="1:16" ht="21" customHeight="1">
      <c r="A24" s="1098"/>
      <c r="B24" s="961"/>
      <c r="C24" s="50" t="s">
        <v>147</v>
      </c>
      <c r="D24" s="49">
        <f t="shared" si="1"/>
        <v>877857</v>
      </c>
      <c r="E24" s="49">
        <f t="shared" si="2"/>
        <v>839837</v>
      </c>
      <c r="F24" s="49">
        <f>'表２１－３'!I32</f>
        <v>2178</v>
      </c>
      <c r="G24" s="49">
        <f>'表２１－３'!M32</f>
        <v>0</v>
      </c>
      <c r="H24" s="49">
        <f>'表２１－３'!Q32</f>
        <v>837659</v>
      </c>
      <c r="I24" s="49">
        <f>'表２１－３'!U32</f>
        <v>37900</v>
      </c>
      <c r="J24" s="49">
        <f>'表２１－３'!Y32</f>
        <v>0</v>
      </c>
      <c r="K24" s="49">
        <f>'表２１－３'!E69</f>
        <v>120</v>
      </c>
      <c r="L24" s="49">
        <f>'表２１－３'!I69</f>
        <v>683281</v>
      </c>
      <c r="M24" s="49">
        <f>'表２１－３'!M69</f>
        <v>158286</v>
      </c>
      <c r="N24" s="17">
        <f>'表２１－３'!Q69</f>
        <v>36290</v>
      </c>
      <c r="O24" s="406"/>
      <c r="P24" s="256"/>
    </row>
    <row r="25" spans="1:16" ht="21" customHeight="1">
      <c r="A25" s="1098"/>
      <c r="B25" s="961"/>
      <c r="C25" s="11" t="s">
        <v>148</v>
      </c>
      <c r="D25" s="49">
        <f t="shared" si="1"/>
        <v>1007279</v>
      </c>
      <c r="E25" s="49">
        <f t="shared" si="2"/>
        <v>912079</v>
      </c>
      <c r="F25" s="49">
        <f>'表２１－３'!I33</f>
        <v>2533</v>
      </c>
      <c r="G25" s="49">
        <f>'表２１－３'!M33</f>
        <v>1591</v>
      </c>
      <c r="H25" s="49">
        <f>'表２１－３'!Q33</f>
        <v>907955</v>
      </c>
      <c r="I25" s="49">
        <f>'表２１－３'!U33</f>
        <v>95200</v>
      </c>
      <c r="J25" s="49">
        <f>'表２１－３'!Y33</f>
        <v>0</v>
      </c>
      <c r="K25" s="49">
        <f>'表２１－３'!E70</f>
        <v>0</v>
      </c>
      <c r="L25" s="49">
        <f>'表２１－３'!I70</f>
        <v>683070</v>
      </c>
      <c r="M25" s="49">
        <f>'表２１－３'!M70</f>
        <v>272784</v>
      </c>
      <c r="N25" s="17">
        <f>'表２１－３'!Q70</f>
        <v>51425</v>
      </c>
      <c r="O25" s="406"/>
      <c r="P25" s="256"/>
    </row>
    <row r="26" spans="1:16" ht="25.5" customHeight="1">
      <c r="A26" s="1098"/>
      <c r="B26" s="961"/>
      <c r="C26" s="55" t="s">
        <v>149</v>
      </c>
      <c r="D26" s="49">
        <f t="shared" si="1"/>
        <v>1218962</v>
      </c>
      <c r="E26" s="49">
        <f t="shared" si="2"/>
        <v>1213721</v>
      </c>
      <c r="F26" s="49">
        <f>'表２１－３'!I34</f>
        <v>69107</v>
      </c>
      <c r="G26" s="49">
        <f>'表２１－３'!M34</f>
        <v>62691</v>
      </c>
      <c r="H26" s="49">
        <f>'表２１－３'!Q34</f>
        <v>1081923</v>
      </c>
      <c r="I26" s="49">
        <f>'表２１－３'!U34</f>
        <v>4900</v>
      </c>
      <c r="J26" s="49">
        <f>'表２１－３'!Y34</f>
        <v>341</v>
      </c>
      <c r="K26" s="49">
        <f>'表２１－３'!E71</f>
        <v>0</v>
      </c>
      <c r="L26" s="49">
        <f>'表２１－３'!I71</f>
        <v>1171391</v>
      </c>
      <c r="M26" s="49">
        <f>'表２１－３'!M71</f>
        <v>47571</v>
      </c>
      <c r="N26" s="17">
        <f>'表２１－３'!Q71</f>
        <v>0</v>
      </c>
      <c r="O26" s="406"/>
      <c r="P26" s="256"/>
    </row>
    <row r="27" spans="1:16" ht="21" customHeight="1">
      <c r="A27" s="1098"/>
      <c r="B27" s="966"/>
      <c r="C27" s="58" t="s">
        <v>150</v>
      </c>
      <c r="D27" s="49">
        <f t="shared" si="1"/>
        <v>957554</v>
      </c>
      <c r="E27" s="49">
        <f t="shared" si="2"/>
        <v>871954</v>
      </c>
      <c r="F27" s="49">
        <f>'表２１－３'!I35</f>
        <v>314132</v>
      </c>
      <c r="G27" s="49">
        <f>'表２１－３'!M35</f>
        <v>13594</v>
      </c>
      <c r="H27" s="49">
        <f>'表２１－３'!Q35</f>
        <v>544228</v>
      </c>
      <c r="I27" s="49">
        <f>'表２１－３'!U35</f>
        <v>85600</v>
      </c>
      <c r="J27" s="49">
        <f>'表２１－３'!Y35</f>
        <v>0</v>
      </c>
      <c r="K27" s="49">
        <f>'表２１－３'!E72</f>
        <v>0</v>
      </c>
      <c r="L27" s="49">
        <f>'表２１－３'!I72</f>
        <v>767089</v>
      </c>
      <c r="M27" s="49">
        <f>'表２１－３'!M72</f>
        <v>175447</v>
      </c>
      <c r="N27" s="17">
        <f>'表２１－３'!Q72</f>
        <v>15018</v>
      </c>
      <c r="O27" s="406"/>
      <c r="P27" s="256"/>
    </row>
    <row r="28" spans="1:16" ht="21" customHeight="1" thickBot="1">
      <c r="A28" s="1099"/>
      <c r="B28" s="1120" t="s">
        <v>151</v>
      </c>
      <c r="C28" s="1120"/>
      <c r="D28" s="59">
        <f>E28+I28+J28+K28</f>
        <v>7311979</v>
      </c>
      <c r="E28" s="59">
        <f t="shared" si="2"/>
        <v>7180129</v>
      </c>
      <c r="F28" s="59">
        <f>'表２１－３'!I37</f>
        <v>43929</v>
      </c>
      <c r="G28" s="59">
        <f>'表２１－３'!M37</f>
        <v>46112</v>
      </c>
      <c r="H28" s="59">
        <f>'表２１－３'!Q37</f>
        <v>7090088</v>
      </c>
      <c r="I28" s="59">
        <f>'表２１－３'!U37</f>
        <v>131800</v>
      </c>
      <c r="J28" s="59">
        <f>'表２１－３'!Y37</f>
        <v>50</v>
      </c>
      <c r="K28" s="121"/>
      <c r="L28" s="59">
        <f>'表２１－３'!I74</f>
        <v>7215086</v>
      </c>
      <c r="M28" s="59">
        <f>'表２１－３'!M74</f>
        <v>94811</v>
      </c>
      <c r="N28" s="402">
        <f>'表２１－３'!Q74</f>
        <v>2082</v>
      </c>
      <c r="O28" s="912">
        <v>1935</v>
      </c>
      <c r="P28" s="256"/>
    </row>
  </sheetData>
  <sheetProtection/>
  <mergeCells count="16">
    <mergeCell ref="O3:O4"/>
    <mergeCell ref="L3:N3"/>
    <mergeCell ref="A1:H1"/>
    <mergeCell ref="A3:C4"/>
    <mergeCell ref="D3:D4"/>
    <mergeCell ref="E3:H3"/>
    <mergeCell ref="J3:J4"/>
    <mergeCell ref="K3:K4"/>
    <mergeCell ref="I3:I4"/>
    <mergeCell ref="A17:A28"/>
    <mergeCell ref="B18:B27"/>
    <mergeCell ref="B28:C28"/>
    <mergeCell ref="A5:A16"/>
    <mergeCell ref="B5:C5"/>
    <mergeCell ref="B6:B15"/>
    <mergeCell ref="B16:C16"/>
  </mergeCells>
  <printOptions/>
  <pageMargins left="0.75" right="0.75" top="1" bottom="0.46" header="0.512" footer="0.512"/>
  <pageSetup fitToHeight="1" fitToWidth="1" horizontalDpi="300" verticalDpi="300" orientation="landscape" paperSize="9" scale="81" r:id="rId1"/>
</worksheet>
</file>

<file path=xl/worksheets/sheet19.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selection activeCell="L2" sqref="L2:M2"/>
    </sheetView>
  </sheetViews>
  <sheetFormatPr defaultColWidth="9.00390625" defaultRowHeight="13.5"/>
  <cols>
    <col min="1" max="1" width="3.625" style="7" customWidth="1"/>
    <col min="2" max="2" width="2.375" style="7" customWidth="1"/>
    <col min="3" max="3" width="24.375" style="7" customWidth="1"/>
    <col min="4" max="4" width="11.625" style="7" customWidth="1"/>
    <col min="5" max="8" width="9.875" style="7" customWidth="1"/>
    <col min="9" max="9" width="9.25390625" style="7" customWidth="1"/>
    <col min="10" max="11" width="9.75390625" style="7" customWidth="1"/>
    <col min="12" max="12" width="12.125" style="7" customWidth="1"/>
    <col min="13" max="14" width="11.375" style="7" customWidth="1"/>
    <col min="15" max="15" width="9.75390625" style="7" customWidth="1"/>
    <col min="16" max="16384" width="9.00390625" style="7" customWidth="1"/>
  </cols>
  <sheetData>
    <row r="1" spans="1:8" ht="21" customHeight="1">
      <c r="A1" s="1" t="s">
        <v>308</v>
      </c>
      <c r="B1" s="1"/>
      <c r="C1" s="1"/>
      <c r="D1" s="1"/>
      <c r="E1" s="1"/>
      <c r="F1" s="1"/>
      <c r="G1" s="1"/>
      <c r="H1" s="1"/>
    </row>
    <row r="2" spans="11:15" ht="21" customHeight="1" thickBot="1">
      <c r="K2" s="22" t="s">
        <v>153</v>
      </c>
      <c r="L2" s="1124">
        <f>'表５'!Q31</f>
        <v>1341539</v>
      </c>
      <c r="M2" s="1124"/>
      <c r="N2" s="22"/>
      <c r="O2" s="22" t="s">
        <v>304</v>
      </c>
    </row>
    <row r="3" spans="1:15" ht="24.75" customHeight="1">
      <c r="A3" s="1113" t="s">
        <v>131</v>
      </c>
      <c r="B3" s="1114"/>
      <c r="C3" s="1128"/>
      <c r="D3" s="1130" t="s">
        <v>132</v>
      </c>
      <c r="E3" s="1050" t="s">
        <v>133</v>
      </c>
      <c r="F3" s="1051"/>
      <c r="G3" s="1051"/>
      <c r="H3" s="1051"/>
      <c r="I3" s="1055" t="s">
        <v>107</v>
      </c>
      <c r="J3" s="1083" t="s">
        <v>265</v>
      </c>
      <c r="K3" s="1083" t="s">
        <v>283</v>
      </c>
      <c r="L3" s="1050" t="s">
        <v>134</v>
      </c>
      <c r="M3" s="1051"/>
      <c r="N3" s="1051"/>
      <c r="O3" s="1110" t="s">
        <v>305</v>
      </c>
    </row>
    <row r="4" spans="1:15" ht="24.75" customHeight="1" thickBot="1">
      <c r="A4" s="1116"/>
      <c r="B4" s="1117"/>
      <c r="C4" s="1129"/>
      <c r="D4" s="1131"/>
      <c r="E4" s="53" t="s">
        <v>135</v>
      </c>
      <c r="F4" s="181" t="s">
        <v>268</v>
      </c>
      <c r="G4" s="181" t="s">
        <v>263</v>
      </c>
      <c r="H4" s="182" t="s">
        <v>269</v>
      </c>
      <c r="I4" s="1109"/>
      <c r="J4" s="1122"/>
      <c r="K4" s="1123"/>
      <c r="L4" s="47" t="s">
        <v>136</v>
      </c>
      <c r="M4" s="54" t="s">
        <v>137</v>
      </c>
      <c r="N4" s="54" t="s">
        <v>138</v>
      </c>
      <c r="O4" s="1121"/>
    </row>
    <row r="5" spans="1:15" ht="21" customHeight="1">
      <c r="A5" s="1103" t="s">
        <v>139</v>
      </c>
      <c r="B5" s="1106" t="s">
        <v>140</v>
      </c>
      <c r="C5" s="1126"/>
      <c r="D5" s="238">
        <f>ROUND('表１８'!D5*1000/$L$2,0)</f>
        <v>1384</v>
      </c>
      <c r="E5" s="230">
        <f>ROUND('表１８'!E5*1000/$L$2,0)</f>
        <v>1384</v>
      </c>
      <c r="F5" s="230">
        <f>ROUND('表１８'!F5*1000/$L$2,0)</f>
        <v>23</v>
      </c>
      <c r="G5" s="230">
        <f>ROUND('表１８'!G5*1000/$L$2,0)</f>
        <v>1360</v>
      </c>
      <c r="H5" s="230">
        <f>ROUND('表１８'!H5*1000/$L$2,0)</f>
        <v>0</v>
      </c>
      <c r="I5" s="230">
        <f>ROUND('表１８'!I5*1000/$L$2,0)</f>
        <v>0</v>
      </c>
      <c r="J5" s="230">
        <f>ROUND('表１８'!J5*1000/$L$2,0)</f>
        <v>0</v>
      </c>
      <c r="K5" s="230">
        <f>ROUND('表１８'!K5*1000/$L$2,0)</f>
        <v>0</v>
      </c>
      <c r="L5" s="230">
        <f>ROUND('表１８'!L5*1000/$L$2,0)</f>
        <v>1227</v>
      </c>
      <c r="M5" s="230">
        <f>ROUND('表１８'!M5*1000/$L$2,0)</f>
        <v>144</v>
      </c>
      <c r="N5" s="399">
        <f>ROUND('表１８'!N5*1000/$L$2,0)</f>
        <v>12</v>
      </c>
      <c r="O5" s="403"/>
    </row>
    <row r="6" spans="1:15" ht="21" customHeight="1">
      <c r="A6" s="1104"/>
      <c r="B6" s="960"/>
      <c r="C6" s="149" t="s">
        <v>141</v>
      </c>
      <c r="D6" s="239">
        <f>ROUND('表１８'!D6*1000/$L$2,0)</f>
        <v>0</v>
      </c>
      <c r="E6" s="16">
        <f>ROUND('表１８'!E6*1000/$L$2,0)</f>
        <v>0</v>
      </c>
      <c r="F6" s="16">
        <f>ROUND('表１８'!F6*1000/$L$2,0)</f>
        <v>0</v>
      </c>
      <c r="G6" s="16">
        <f>ROUND('表１８'!G6*1000/$L$2,0)</f>
        <v>0</v>
      </c>
      <c r="H6" s="16">
        <f>ROUND('表１８'!H6*1000/$L$2,0)</f>
        <v>0</v>
      </c>
      <c r="I6" s="16">
        <f>ROUND('表１８'!I6*1000/$L$2,0)</f>
        <v>0</v>
      </c>
      <c r="J6" s="16">
        <f>ROUND('表１８'!J6*1000/$L$2,0)</f>
        <v>0</v>
      </c>
      <c r="K6" s="16">
        <f>ROUND('表１８'!K6*1000/$L$2,0)</f>
        <v>0</v>
      </c>
      <c r="L6" s="16">
        <f>ROUND('表１８'!L6*1000/$L$2,0)</f>
        <v>0</v>
      </c>
      <c r="M6" s="16">
        <f>ROUND('表１８'!M6*1000/$L$2,0)</f>
        <v>0</v>
      </c>
      <c r="N6" s="17">
        <f>ROUND('表１８'!N6*1000/$L$2,0)</f>
        <v>0</v>
      </c>
      <c r="O6" s="404"/>
    </row>
    <row r="7" spans="1:15" ht="21" customHeight="1">
      <c r="A7" s="1104"/>
      <c r="B7" s="961"/>
      <c r="C7" s="149" t="s">
        <v>142</v>
      </c>
      <c r="D7" s="239">
        <f>ROUND('表１８'!D7*1000/$L$2,0)</f>
        <v>177</v>
      </c>
      <c r="E7" s="16">
        <f>ROUND('表１８'!E7*1000/$L$2,0)</f>
        <v>177</v>
      </c>
      <c r="F7" s="16">
        <f>ROUND('表１８'!F7*1000/$L$2,0)</f>
        <v>0</v>
      </c>
      <c r="G7" s="16">
        <f>ROUND('表１８'!G7*1000/$L$2,0)</f>
        <v>177</v>
      </c>
      <c r="H7" s="16">
        <f>ROUND('表１８'!H7*1000/$L$2,0)</f>
        <v>0</v>
      </c>
      <c r="I7" s="16">
        <f>ROUND('表１８'!I7*1000/$L$2,0)</f>
        <v>0</v>
      </c>
      <c r="J7" s="16">
        <f>ROUND('表１８'!J7*1000/$L$2,0)</f>
        <v>0</v>
      </c>
      <c r="K7" s="16">
        <f>ROUND('表１８'!K7*1000/$L$2,0)</f>
        <v>0</v>
      </c>
      <c r="L7" s="16">
        <f>ROUND('表１８'!L7*1000/$L$2,0)</f>
        <v>152</v>
      </c>
      <c r="M7" s="16">
        <f>ROUND('表１８'!M7*1000/$L$2,0)</f>
        <v>25</v>
      </c>
      <c r="N7" s="17">
        <f>ROUND('表１８'!N7*1000/$L$2,0)</f>
        <v>0</v>
      </c>
      <c r="O7" s="404"/>
    </row>
    <row r="8" spans="1:15" ht="21" customHeight="1">
      <c r="A8" s="1104"/>
      <c r="B8" s="961"/>
      <c r="C8" s="149" t="s">
        <v>143</v>
      </c>
      <c r="D8" s="239">
        <f>ROUND('表１８'!D8*1000/$L$2,0)</f>
        <v>936</v>
      </c>
      <c r="E8" s="16">
        <f>ROUND('表１８'!E8*1000/$L$2,0)</f>
        <v>936</v>
      </c>
      <c r="F8" s="16">
        <f>ROUND('表１８'!F8*1000/$L$2,0)</f>
        <v>3</v>
      </c>
      <c r="G8" s="16">
        <f>ROUND('表１８'!G8*1000/$L$2,0)</f>
        <v>933</v>
      </c>
      <c r="H8" s="16">
        <f>ROUND('表１８'!H8*1000/$L$2,0)</f>
        <v>0</v>
      </c>
      <c r="I8" s="16">
        <f>ROUND('表１８'!I8*1000/$L$2,0)</f>
        <v>0</v>
      </c>
      <c r="J8" s="16">
        <f>ROUND('表１８'!J8*1000/$L$2,0)</f>
        <v>0</v>
      </c>
      <c r="K8" s="16">
        <f>ROUND('表１８'!K8*1000/$L$2,0)</f>
        <v>0</v>
      </c>
      <c r="L8" s="16">
        <f>ROUND('表１８'!L8*1000/$L$2,0)</f>
        <v>804</v>
      </c>
      <c r="M8" s="16">
        <f>ROUND('表１８'!M8*1000/$L$2,0)</f>
        <v>120</v>
      </c>
      <c r="N8" s="17">
        <f>ROUND('表１８'!N8*1000/$L$2,0)</f>
        <v>12</v>
      </c>
      <c r="O8" s="404"/>
    </row>
    <row r="9" spans="1:15" ht="21" customHeight="1">
      <c r="A9" s="1104"/>
      <c r="B9" s="961"/>
      <c r="C9" s="149" t="s">
        <v>144</v>
      </c>
      <c r="D9" s="239">
        <f>ROUND('表１８'!D9*1000/$L$2,0)</f>
        <v>0</v>
      </c>
      <c r="E9" s="16">
        <f>ROUND('表１８'!E9*1000/$L$2,0)</f>
        <v>0</v>
      </c>
      <c r="F9" s="16">
        <f>ROUND('表１８'!F9*1000/$L$2,0)</f>
        <v>0</v>
      </c>
      <c r="G9" s="16">
        <f>ROUND('表１８'!G9*1000/$L$2,0)</f>
        <v>0</v>
      </c>
      <c r="H9" s="16">
        <f>ROUND('表１８'!H9*1000/$L$2,0)</f>
        <v>0</v>
      </c>
      <c r="I9" s="16">
        <f>ROUND('表１８'!I9*1000/$L$2,0)</f>
        <v>0</v>
      </c>
      <c r="J9" s="16">
        <f>ROUND('表１８'!J9*1000/$L$2,0)</f>
        <v>0</v>
      </c>
      <c r="K9" s="16">
        <f>ROUND('表１８'!K9*1000/$L$2,0)</f>
        <v>0</v>
      </c>
      <c r="L9" s="16">
        <f>ROUND('表１８'!L9*1000/$L$2,0)</f>
        <v>0</v>
      </c>
      <c r="M9" s="16">
        <f>ROUND('表１８'!M9*1000/$L$2,0)</f>
        <v>0</v>
      </c>
      <c r="N9" s="17">
        <f>ROUND('表１８'!N9*1000/$L$2,0)</f>
        <v>0</v>
      </c>
      <c r="O9" s="404"/>
    </row>
    <row r="10" spans="1:15" ht="21" customHeight="1">
      <c r="A10" s="1104"/>
      <c r="B10" s="961"/>
      <c r="C10" s="149" t="s">
        <v>145</v>
      </c>
      <c r="D10" s="239">
        <f>ROUND('表１８'!D10*1000/$L$2,0)</f>
        <v>27</v>
      </c>
      <c r="E10" s="16">
        <f>ROUND('表１８'!E10*1000/$L$2,0)</f>
        <v>27</v>
      </c>
      <c r="F10" s="16">
        <f>ROUND('表１８'!F10*1000/$L$2,0)</f>
        <v>0</v>
      </c>
      <c r="G10" s="16">
        <f>ROUND('表１８'!G10*1000/$L$2,0)</f>
        <v>27</v>
      </c>
      <c r="H10" s="16">
        <f>ROUND('表１８'!H10*1000/$L$2,0)</f>
        <v>0</v>
      </c>
      <c r="I10" s="16">
        <f>ROUND('表１８'!I10*1000/$L$2,0)</f>
        <v>0</v>
      </c>
      <c r="J10" s="16">
        <f>ROUND('表１８'!J10*1000/$L$2,0)</f>
        <v>0</v>
      </c>
      <c r="K10" s="16">
        <f>ROUND('表１８'!K10*1000/$L$2,0)</f>
        <v>0</v>
      </c>
      <c r="L10" s="16">
        <f>ROUND('表１８'!L10*1000/$L$2,0)</f>
        <v>27</v>
      </c>
      <c r="M10" s="16">
        <f>ROUND('表１８'!M10*1000/$L$2,0)</f>
        <v>0</v>
      </c>
      <c r="N10" s="17">
        <f>ROUND('表１８'!N10*1000/$L$2,0)</f>
        <v>0</v>
      </c>
      <c r="O10" s="404"/>
    </row>
    <row r="11" spans="1:15" ht="21" customHeight="1">
      <c r="A11" s="1104"/>
      <c r="B11" s="961"/>
      <c r="C11" s="149" t="s">
        <v>146</v>
      </c>
      <c r="D11" s="239">
        <f>ROUND('表１８'!D11*1000/$L$2,0)</f>
        <v>0</v>
      </c>
      <c r="E11" s="16">
        <f>ROUND('表１８'!E11*1000/$L$2,0)</f>
        <v>0</v>
      </c>
      <c r="F11" s="16">
        <f>ROUND('表１８'!F11*1000/$L$2,0)</f>
        <v>0</v>
      </c>
      <c r="G11" s="16">
        <f>ROUND('表１８'!G11*1000/$L$2,0)</f>
        <v>0</v>
      </c>
      <c r="H11" s="16">
        <f>ROUND('表１８'!H11*1000/$L$2,0)</f>
        <v>0</v>
      </c>
      <c r="I11" s="16">
        <f>ROUND('表１８'!I11*1000/$L$2,0)</f>
        <v>0</v>
      </c>
      <c r="J11" s="16">
        <f>ROUND('表１８'!J11*1000/$L$2,0)</f>
        <v>0</v>
      </c>
      <c r="K11" s="16">
        <f>ROUND('表１８'!K11*1000/$L$2,0)</f>
        <v>0</v>
      </c>
      <c r="L11" s="16">
        <f>ROUND('表１８'!L11*1000/$L$2,0)</f>
        <v>0</v>
      </c>
      <c r="M11" s="16">
        <f>ROUND('表１８'!M11*1000/$L$2,0)</f>
        <v>0</v>
      </c>
      <c r="N11" s="17">
        <f>ROUND('表１８'!N11*1000/$L$2,0)</f>
        <v>0</v>
      </c>
      <c r="O11" s="404"/>
    </row>
    <row r="12" spans="1:15" ht="21" customHeight="1">
      <c r="A12" s="1104"/>
      <c r="B12" s="961"/>
      <c r="C12" s="149" t="s">
        <v>147</v>
      </c>
      <c r="D12" s="239">
        <f>ROUND('表１８'!D12*1000/$L$2,0)</f>
        <v>0</v>
      </c>
      <c r="E12" s="16">
        <f>ROUND('表１８'!E12*1000/$L$2,0)</f>
        <v>0</v>
      </c>
      <c r="F12" s="16">
        <f>ROUND('表１８'!F12*1000/$L$2,0)</f>
        <v>0</v>
      </c>
      <c r="G12" s="16">
        <f>ROUND('表１８'!G12*1000/$L$2,0)</f>
        <v>0</v>
      </c>
      <c r="H12" s="16">
        <f>ROUND('表１８'!H12*1000/$L$2,0)</f>
        <v>0</v>
      </c>
      <c r="I12" s="16">
        <f>ROUND('表１８'!I12*1000/$L$2,0)</f>
        <v>0</v>
      </c>
      <c r="J12" s="16">
        <f>ROUND('表１８'!J12*1000/$L$2,0)</f>
        <v>0</v>
      </c>
      <c r="K12" s="16">
        <f>ROUND('表１８'!K12*1000/$L$2,0)</f>
        <v>0</v>
      </c>
      <c r="L12" s="16">
        <f>ROUND('表１８'!L12*1000/$L$2,0)</f>
        <v>0</v>
      </c>
      <c r="M12" s="16">
        <f>ROUND('表１８'!M12*1000/$L$2,0)</f>
        <v>0</v>
      </c>
      <c r="N12" s="17">
        <f>ROUND('表１８'!N12*1000/$L$2,0)</f>
        <v>0</v>
      </c>
      <c r="O12" s="404"/>
    </row>
    <row r="13" spans="1:15" ht="21" customHeight="1">
      <c r="A13" s="1104"/>
      <c r="B13" s="961"/>
      <c r="C13" s="138" t="s">
        <v>148</v>
      </c>
      <c r="D13" s="239">
        <f>ROUND('表１８'!D13*1000/$L$2,0)</f>
        <v>116</v>
      </c>
      <c r="E13" s="16">
        <f>ROUND('表１８'!E13*1000/$L$2,0)</f>
        <v>116</v>
      </c>
      <c r="F13" s="16">
        <f>ROUND('表１８'!F13*1000/$L$2,0)</f>
        <v>0</v>
      </c>
      <c r="G13" s="16">
        <f>ROUND('表１８'!G13*1000/$L$2,0)</f>
        <v>116</v>
      </c>
      <c r="H13" s="16">
        <f>ROUND('表１８'!H13*1000/$L$2,0)</f>
        <v>0</v>
      </c>
      <c r="I13" s="16">
        <f>ROUND('表１８'!I13*1000/$L$2,0)</f>
        <v>0</v>
      </c>
      <c r="J13" s="16">
        <f>ROUND('表１８'!J13*1000/$L$2,0)</f>
        <v>0</v>
      </c>
      <c r="K13" s="16">
        <f>ROUND('表１８'!K13*1000/$L$2,0)</f>
        <v>0</v>
      </c>
      <c r="L13" s="16">
        <f>ROUND('表１８'!L13*1000/$L$2,0)</f>
        <v>116</v>
      </c>
      <c r="M13" s="16">
        <f>ROUND('表１８'!M13*1000/$L$2,0)</f>
        <v>0</v>
      </c>
      <c r="N13" s="17">
        <f>ROUND('表１８'!N13*1000/$L$2,0)</f>
        <v>0</v>
      </c>
      <c r="O13" s="404"/>
    </row>
    <row r="14" spans="1:15" ht="25.5" customHeight="1">
      <c r="A14" s="1104"/>
      <c r="B14" s="961"/>
      <c r="C14" s="150" t="s">
        <v>149</v>
      </c>
      <c r="D14" s="239">
        <f>ROUND('表１８'!D14*1000/$L$2,0)</f>
        <v>75</v>
      </c>
      <c r="E14" s="16">
        <f>ROUND('表１８'!E14*1000/$L$2,0)</f>
        <v>75</v>
      </c>
      <c r="F14" s="16">
        <f>ROUND('表１８'!F14*1000/$L$2,0)</f>
        <v>1</v>
      </c>
      <c r="G14" s="16">
        <f>ROUND('表１８'!G14*1000/$L$2,0)</f>
        <v>73</v>
      </c>
      <c r="H14" s="16">
        <f>ROUND('表１８'!H14*1000/$L$2,0)</f>
        <v>0</v>
      </c>
      <c r="I14" s="16">
        <f>ROUND('表１８'!I14*1000/$L$2,0)</f>
        <v>0</v>
      </c>
      <c r="J14" s="16">
        <f>ROUND('表１８'!J14*1000/$L$2,0)</f>
        <v>0</v>
      </c>
      <c r="K14" s="16">
        <f>ROUND('表１８'!K14*1000/$L$2,0)</f>
        <v>0</v>
      </c>
      <c r="L14" s="16">
        <f>ROUND('表１８'!L14*1000/$L$2,0)</f>
        <v>75</v>
      </c>
      <c r="M14" s="16">
        <f>ROUND('表１８'!M14*1000/$L$2,0)</f>
        <v>0</v>
      </c>
      <c r="N14" s="17">
        <f>ROUND('表１８'!N14*1000/$L$2,0)</f>
        <v>0</v>
      </c>
      <c r="O14" s="404"/>
    </row>
    <row r="15" spans="1:15" ht="21" customHeight="1">
      <c r="A15" s="1104"/>
      <c r="B15" s="966"/>
      <c r="C15" s="149" t="s">
        <v>150</v>
      </c>
      <c r="D15" s="239">
        <f>ROUND('表１８'!D15*1000/$L$2,0)</f>
        <v>53</v>
      </c>
      <c r="E15" s="16">
        <f>ROUND('表１８'!E15*1000/$L$2,0)</f>
        <v>53</v>
      </c>
      <c r="F15" s="16">
        <f>ROUND('表１８'!F15*1000/$L$2,0)</f>
        <v>19</v>
      </c>
      <c r="G15" s="16">
        <f>ROUND('表１８'!G15*1000/$L$2,0)</f>
        <v>35</v>
      </c>
      <c r="H15" s="16">
        <f>ROUND('表１８'!H15*1000/$L$2,0)</f>
        <v>0</v>
      </c>
      <c r="I15" s="16">
        <f>ROUND('表１８'!I15*1000/$L$2,0)</f>
        <v>0</v>
      </c>
      <c r="J15" s="16">
        <f>ROUND('表１８'!J15*1000/$L$2,0)</f>
        <v>0</v>
      </c>
      <c r="K15" s="16">
        <f>ROUND('表１８'!K15*1000/$L$2,0)</f>
        <v>0</v>
      </c>
      <c r="L15" s="16">
        <f>ROUND('表１８'!L15*1000/$L$2,0)</f>
        <v>53</v>
      </c>
      <c r="M15" s="16">
        <f>ROUND('表１８'!M15*1000/$L$2,0)</f>
        <v>0</v>
      </c>
      <c r="N15" s="17">
        <f>ROUND('表１８'!N15*1000/$L$2,0)</f>
        <v>0</v>
      </c>
      <c r="O15" s="404"/>
    </row>
    <row r="16" spans="1:15" ht="21" customHeight="1" thickBot="1">
      <c r="A16" s="1105"/>
      <c r="B16" s="1095" t="s">
        <v>151</v>
      </c>
      <c r="C16" s="1127"/>
      <c r="D16" s="240">
        <f>ROUND('表１８'!D16*1000/$L$2,0)</f>
        <v>3613</v>
      </c>
      <c r="E16" s="35">
        <f>ROUND('表１８'!E16*1000/$L$2,0)</f>
        <v>3601</v>
      </c>
      <c r="F16" s="35">
        <f>ROUND('表１８'!F16*1000/$L$2,0)</f>
        <v>53</v>
      </c>
      <c r="G16" s="35">
        <f>ROUND('表１８'!G16*1000/$L$2,0)</f>
        <v>3548</v>
      </c>
      <c r="H16" s="35">
        <f>ROUND('表１８'!H16*1000/$L$2,0)</f>
        <v>0</v>
      </c>
      <c r="I16" s="35">
        <f>ROUND('表１８'!I16*1000/$L$2,0)</f>
        <v>0</v>
      </c>
      <c r="J16" s="35">
        <f>ROUND('表１８'!J16*1000/$L$2,0)</f>
        <v>12</v>
      </c>
      <c r="K16" s="35">
        <f>ROUND('表１８'!K16*1000/$L$2,0)</f>
        <v>0</v>
      </c>
      <c r="L16" s="35">
        <f>ROUND('表１８'!L16*1000/$L$2,0)</f>
        <v>3609</v>
      </c>
      <c r="M16" s="35">
        <f>ROUND('表１８'!M16*1000/$L$2,0)</f>
        <v>4</v>
      </c>
      <c r="N16" s="400">
        <f>ROUND('表１８'!N16*1000/$L$2,0)</f>
        <v>0</v>
      </c>
      <c r="O16" s="38">
        <f>ROUND('表１８'!O16*1000/$L$2,0)</f>
        <v>38</v>
      </c>
    </row>
    <row r="17" spans="1:15" ht="21" customHeight="1" thickTop="1">
      <c r="A17" s="1119" t="s">
        <v>152</v>
      </c>
      <c r="B17" s="56" t="s">
        <v>140</v>
      </c>
      <c r="C17" s="151"/>
      <c r="D17" s="238">
        <f>ROUND('表１８'!D17*1000/$L$2,0)</f>
        <v>11592</v>
      </c>
      <c r="E17" s="49">
        <f>ROUND('表１８'!E17*1000/$L$2,0)</f>
        <v>10843</v>
      </c>
      <c r="F17" s="49">
        <f>ROUND('表１８'!F17*1000/$L$2,0)</f>
        <v>360</v>
      </c>
      <c r="G17" s="49">
        <f>ROUND('表１８'!G17*1000/$L$2,0)</f>
        <v>61</v>
      </c>
      <c r="H17" s="49">
        <f>ROUND('表１８'!H17*1000/$L$2,0)</f>
        <v>10422</v>
      </c>
      <c r="I17" s="49">
        <f>ROUND('表１８'!I17*1000/$L$2,0)</f>
        <v>739</v>
      </c>
      <c r="J17" s="49">
        <f>ROUND('表１８'!J17*1000/$L$2,0)</f>
        <v>1</v>
      </c>
      <c r="K17" s="49">
        <f>ROUND('表１８'!K17*1000/$L$2,0)</f>
        <v>9</v>
      </c>
      <c r="L17" s="49">
        <f>ROUND('表１８'!L17*1000/$L$2,0)</f>
        <v>8559</v>
      </c>
      <c r="M17" s="49">
        <f>ROUND('表１８'!M17*1000/$L$2,0)</f>
        <v>1809</v>
      </c>
      <c r="N17" s="407">
        <f>ROUND('表１８'!N17*1000/$L$2,0)</f>
        <v>1224</v>
      </c>
      <c r="O17" s="405"/>
    </row>
    <row r="18" spans="1:15" ht="21" customHeight="1">
      <c r="A18" s="1098"/>
      <c r="B18" s="960"/>
      <c r="C18" s="149" t="s">
        <v>141</v>
      </c>
      <c r="D18" s="238">
        <f>ROUND('表１８'!D18*1000/$L$2,0)</f>
        <v>3461</v>
      </c>
      <c r="E18" s="49">
        <f>ROUND('表１８'!E18*1000/$L$2,0)</f>
        <v>3212</v>
      </c>
      <c r="F18" s="49">
        <f>ROUND('表１８'!F18*1000/$L$2,0)</f>
        <v>40</v>
      </c>
      <c r="G18" s="49">
        <f>ROUND('表１８'!G18*1000/$L$2,0)</f>
        <v>2</v>
      </c>
      <c r="H18" s="49">
        <f>ROUND('表１８'!H18*1000/$L$2,0)</f>
        <v>3171</v>
      </c>
      <c r="I18" s="49">
        <f>ROUND('表１８'!I18*1000/$L$2,0)</f>
        <v>239</v>
      </c>
      <c r="J18" s="49">
        <f>ROUND('表１８'!J18*1000/$L$2,0)</f>
        <v>0</v>
      </c>
      <c r="K18" s="49">
        <f>ROUND('表１８'!K18*1000/$L$2,0)</f>
        <v>9</v>
      </c>
      <c r="L18" s="49">
        <f>ROUND('表１８'!L18*1000/$L$2,0)</f>
        <v>2443</v>
      </c>
      <c r="M18" s="49">
        <f>ROUND('表１８'!M18*1000/$L$2,0)</f>
        <v>712</v>
      </c>
      <c r="N18" s="401">
        <f>ROUND('表１８'!N18*1000/$L$2,0)</f>
        <v>306</v>
      </c>
      <c r="O18" s="406"/>
    </row>
    <row r="19" spans="1:15" ht="21" customHeight="1">
      <c r="A19" s="1098"/>
      <c r="B19" s="961"/>
      <c r="C19" s="149" t="s">
        <v>142</v>
      </c>
      <c r="D19" s="238">
        <f>ROUND('表１８'!D19*1000/$L$2,0)</f>
        <v>1594</v>
      </c>
      <c r="E19" s="49">
        <f>ROUND('表１８'!E19*1000/$L$2,0)</f>
        <v>1593</v>
      </c>
      <c r="F19" s="49">
        <f>ROUND('表１８'!F19*1000/$L$2,0)</f>
        <v>2</v>
      </c>
      <c r="G19" s="49">
        <f>ROUND('表１８'!G19*1000/$L$2,0)</f>
        <v>0</v>
      </c>
      <c r="H19" s="49">
        <f>ROUND('表１８'!H19*1000/$L$2,0)</f>
        <v>1591</v>
      </c>
      <c r="I19" s="49">
        <f>ROUND('表１８'!I19*1000/$L$2,0)</f>
        <v>1</v>
      </c>
      <c r="J19" s="49">
        <f>ROUND('表１８'!J19*1000/$L$2,0)</f>
        <v>1</v>
      </c>
      <c r="K19" s="49">
        <f>ROUND('表１８'!K19*1000/$L$2,0)</f>
        <v>0</v>
      </c>
      <c r="L19" s="49">
        <f>ROUND('表１８'!L19*1000/$L$2,0)</f>
        <v>1298</v>
      </c>
      <c r="M19" s="49">
        <f>ROUND('表１８'!M19*1000/$L$2,0)</f>
        <v>102</v>
      </c>
      <c r="N19" s="401">
        <f>ROUND('表１８'!N19*1000/$L$2,0)</f>
        <v>194</v>
      </c>
      <c r="O19" s="406"/>
    </row>
    <row r="20" spans="1:15" ht="21" customHeight="1">
      <c r="A20" s="1098"/>
      <c r="B20" s="961"/>
      <c r="C20" s="149" t="s">
        <v>143</v>
      </c>
      <c r="D20" s="238">
        <f>ROUND('表１８'!D20*1000/$L$2,0)</f>
        <v>901</v>
      </c>
      <c r="E20" s="49">
        <f>ROUND('表１８'!E20*1000/$L$2,0)</f>
        <v>839</v>
      </c>
      <c r="F20" s="49">
        <f>ROUND('表１８'!F20*1000/$L$2,0)</f>
        <v>29</v>
      </c>
      <c r="G20" s="49">
        <f>ROUND('表１８'!G20*1000/$L$2,0)</f>
        <v>2</v>
      </c>
      <c r="H20" s="49">
        <f>ROUND('表１８'!H20*1000/$L$2,0)</f>
        <v>809</v>
      </c>
      <c r="I20" s="49">
        <f>ROUND('表１８'!I20*1000/$L$2,0)</f>
        <v>61</v>
      </c>
      <c r="J20" s="49">
        <f>ROUND('表１８'!J20*1000/$L$2,0)</f>
        <v>0</v>
      </c>
      <c r="K20" s="49">
        <f>ROUND('表１８'!K20*1000/$L$2,0)</f>
        <v>0</v>
      </c>
      <c r="L20" s="49">
        <f>ROUND('表１８'!L20*1000/$L$2,0)</f>
        <v>783</v>
      </c>
      <c r="M20" s="49">
        <f>ROUND('表１８'!M20*1000/$L$2,0)</f>
        <v>104</v>
      </c>
      <c r="N20" s="401">
        <f>ROUND('表１８'!N20*1000/$L$2,0)</f>
        <v>14</v>
      </c>
      <c r="O20" s="406"/>
    </row>
    <row r="21" spans="1:15" ht="21" customHeight="1">
      <c r="A21" s="1098"/>
      <c r="B21" s="961"/>
      <c r="C21" s="149" t="s">
        <v>144</v>
      </c>
      <c r="D21" s="238">
        <f>ROUND('表１８'!D21*1000/$L$2,0)</f>
        <v>2419</v>
      </c>
      <c r="E21" s="49">
        <f>ROUND('表１８'!E21*1000/$L$2,0)</f>
        <v>2153</v>
      </c>
      <c r="F21" s="49">
        <f>ROUND('表１８'!F21*1000/$L$2,0)</f>
        <v>0</v>
      </c>
      <c r="G21" s="49">
        <f>ROUND('表１８'!G21*1000/$L$2,0)</f>
        <v>0</v>
      </c>
      <c r="H21" s="49">
        <f>ROUND('表１８'!H21*1000/$L$2,0)</f>
        <v>2153</v>
      </c>
      <c r="I21" s="49">
        <f>ROUND('表１８'!I21*1000/$L$2,0)</f>
        <v>266</v>
      </c>
      <c r="J21" s="49">
        <f>ROUND('表１８'!J21*1000/$L$2,0)</f>
        <v>0</v>
      </c>
      <c r="K21" s="49">
        <f>ROUND('表１８'!K21*1000/$L$2,0)</f>
        <v>0</v>
      </c>
      <c r="L21" s="49">
        <f>ROUND('表１８'!L21*1000/$L$2,0)</f>
        <v>1392</v>
      </c>
      <c r="M21" s="49">
        <f>ROUND('表１８'!M21*1000/$L$2,0)</f>
        <v>396</v>
      </c>
      <c r="N21" s="401">
        <f>ROUND('表１８'!N21*1000/$L$2,0)</f>
        <v>630</v>
      </c>
      <c r="O21" s="406"/>
    </row>
    <row r="22" spans="1:15" ht="21" customHeight="1">
      <c r="A22" s="1098"/>
      <c r="B22" s="961"/>
      <c r="C22" s="149" t="s">
        <v>145</v>
      </c>
      <c r="D22" s="238">
        <f>ROUND('表１８'!D22*1000/$L$2,0)</f>
        <v>190</v>
      </c>
      <c r="E22" s="49">
        <f>ROUND('表１８'!E22*1000/$L$2,0)</f>
        <v>185</v>
      </c>
      <c r="F22" s="49">
        <f>ROUND('表１８'!F22*1000/$L$2,0)</f>
        <v>0</v>
      </c>
      <c r="G22" s="49">
        <f>ROUND('表１８'!G22*1000/$L$2,0)</f>
        <v>0</v>
      </c>
      <c r="H22" s="49">
        <f>ROUND('表１８'!H22*1000/$L$2,0)</f>
        <v>185</v>
      </c>
      <c r="I22" s="49">
        <f>ROUND('表１８'!I22*1000/$L$2,0)</f>
        <v>5</v>
      </c>
      <c r="J22" s="49">
        <f>ROUND('表１８'!J22*1000/$L$2,0)</f>
        <v>0</v>
      </c>
      <c r="K22" s="49">
        <f>ROUND('表１８'!K22*1000/$L$2,0)</f>
        <v>0</v>
      </c>
      <c r="L22" s="49">
        <f>ROUND('表１８'!L22*1000/$L$2,0)</f>
        <v>180</v>
      </c>
      <c r="M22" s="49">
        <f>ROUND('表１８'!M22*1000/$L$2,0)</f>
        <v>7</v>
      </c>
      <c r="N22" s="401">
        <f>ROUND('表１８'!N22*1000/$L$2,0)</f>
        <v>3</v>
      </c>
      <c r="O22" s="406"/>
    </row>
    <row r="23" spans="1:15" ht="21" customHeight="1">
      <c r="A23" s="1098"/>
      <c r="B23" s="961"/>
      <c r="C23" s="149" t="s">
        <v>146</v>
      </c>
      <c r="D23" s="238">
        <f>ROUND('表１８'!D23*1000/$L$2,0)</f>
        <v>0</v>
      </c>
      <c r="E23" s="49">
        <f>ROUND('表１８'!E23*1000/$L$2,0)</f>
        <v>0</v>
      </c>
      <c r="F23" s="49">
        <f>ROUND('表１８'!F23*1000/$L$2,0)</f>
        <v>0</v>
      </c>
      <c r="G23" s="49">
        <f>ROUND('表１８'!G23*1000/$L$2,0)</f>
        <v>0</v>
      </c>
      <c r="H23" s="49">
        <f>ROUND('表１８'!H23*1000/$L$2,0)</f>
        <v>0</v>
      </c>
      <c r="I23" s="49">
        <f>ROUND('表１８'!I23*1000/$L$2,0)</f>
        <v>0</v>
      </c>
      <c r="J23" s="49">
        <f>ROUND('表１８'!J23*1000/$L$2,0)</f>
        <v>0</v>
      </c>
      <c r="K23" s="49">
        <f>ROUND('表１８'!K23*1000/$L$2,0)</f>
        <v>0</v>
      </c>
      <c r="L23" s="49">
        <f>ROUND('表１８'!L23*1000/$L$2,0)</f>
        <v>0</v>
      </c>
      <c r="M23" s="49">
        <f>ROUND('表１８'!M23*1000/$L$2,0)</f>
        <v>0</v>
      </c>
      <c r="N23" s="401">
        <f>ROUND('表１８'!N23*1000/$L$2,0)</f>
        <v>0</v>
      </c>
      <c r="O23" s="406"/>
    </row>
    <row r="24" spans="1:15" ht="21" customHeight="1">
      <c r="A24" s="1098"/>
      <c r="B24" s="961"/>
      <c r="C24" s="149" t="s">
        <v>147</v>
      </c>
      <c r="D24" s="238">
        <f>ROUND('表１８'!D24*1000/$L$2,0)</f>
        <v>654</v>
      </c>
      <c r="E24" s="49">
        <f>ROUND('表１８'!E24*1000/$L$2,0)</f>
        <v>626</v>
      </c>
      <c r="F24" s="49">
        <f>ROUND('表１８'!F24*1000/$L$2,0)</f>
        <v>2</v>
      </c>
      <c r="G24" s="49">
        <f>ROUND('表１８'!G24*1000/$L$2,0)</f>
        <v>0</v>
      </c>
      <c r="H24" s="49">
        <f>ROUND('表１８'!H24*1000/$L$2,0)</f>
        <v>624</v>
      </c>
      <c r="I24" s="49">
        <f>ROUND('表１８'!I24*1000/$L$2,0)</f>
        <v>28</v>
      </c>
      <c r="J24" s="49">
        <f>ROUND('表１８'!J24*1000/$L$2,0)</f>
        <v>0</v>
      </c>
      <c r="K24" s="49">
        <f>ROUND('表１８'!K24*1000/$L$2,0)</f>
        <v>0</v>
      </c>
      <c r="L24" s="49">
        <f>ROUND('表１８'!L24*1000/$L$2,0)</f>
        <v>509</v>
      </c>
      <c r="M24" s="49">
        <f>ROUND('表１８'!M24*1000/$L$2,0)</f>
        <v>118</v>
      </c>
      <c r="N24" s="401">
        <f>ROUND('表１８'!N24*1000/$L$2,0)</f>
        <v>27</v>
      </c>
      <c r="O24" s="406"/>
    </row>
    <row r="25" spans="1:15" ht="21" customHeight="1">
      <c r="A25" s="1098"/>
      <c r="B25" s="961"/>
      <c r="C25" s="138" t="s">
        <v>148</v>
      </c>
      <c r="D25" s="238">
        <f>ROUND('表１８'!D25*1000/$L$2,0)</f>
        <v>751</v>
      </c>
      <c r="E25" s="49">
        <f>ROUND('表１８'!E25*1000/$L$2,0)</f>
        <v>680</v>
      </c>
      <c r="F25" s="49">
        <f>ROUND('表１８'!F25*1000/$L$2,0)</f>
        <v>2</v>
      </c>
      <c r="G25" s="49">
        <f>ROUND('表１８'!G25*1000/$L$2,0)</f>
        <v>1</v>
      </c>
      <c r="H25" s="49">
        <f>ROUND('表１８'!H25*1000/$L$2,0)</f>
        <v>677</v>
      </c>
      <c r="I25" s="49">
        <f>ROUND('表１８'!I25*1000/$L$2,0)</f>
        <v>71</v>
      </c>
      <c r="J25" s="49">
        <f>ROUND('表１８'!J25*1000/$L$2,0)</f>
        <v>0</v>
      </c>
      <c r="K25" s="49">
        <f>ROUND('表１８'!K25*1000/$L$2,0)</f>
        <v>0</v>
      </c>
      <c r="L25" s="49">
        <f>ROUND('表１８'!L25*1000/$L$2,0)</f>
        <v>509</v>
      </c>
      <c r="M25" s="49">
        <f>ROUND('表１８'!M25*1000/$L$2,0)</f>
        <v>203</v>
      </c>
      <c r="N25" s="401">
        <f>ROUND('表１８'!N25*1000/$L$2,0)</f>
        <v>38</v>
      </c>
      <c r="O25" s="406"/>
    </row>
    <row r="26" spans="1:15" ht="25.5" customHeight="1">
      <c r="A26" s="1098"/>
      <c r="B26" s="961"/>
      <c r="C26" s="150" t="s">
        <v>149</v>
      </c>
      <c r="D26" s="238">
        <f>ROUND('表１８'!D26*1000/$L$2,0)</f>
        <v>909</v>
      </c>
      <c r="E26" s="49">
        <f>ROUND('表１８'!E26*1000/$L$2,0)</f>
        <v>905</v>
      </c>
      <c r="F26" s="49">
        <f>ROUND('表１８'!F26*1000/$L$2,0)</f>
        <v>52</v>
      </c>
      <c r="G26" s="49">
        <f>ROUND('表１８'!G26*1000/$L$2,0)</f>
        <v>47</v>
      </c>
      <c r="H26" s="49">
        <f>ROUND('表１８'!H26*1000/$L$2,0)</f>
        <v>806</v>
      </c>
      <c r="I26" s="49">
        <f>ROUND('表１８'!I26*1000/$L$2,0)</f>
        <v>4</v>
      </c>
      <c r="J26" s="49">
        <f>ROUND('表１８'!J26*1000/$L$2,0)</f>
        <v>0</v>
      </c>
      <c r="K26" s="49">
        <f>ROUND('表１８'!K26*1000/$L$2,0)</f>
        <v>0</v>
      </c>
      <c r="L26" s="49">
        <f>ROUND('表１８'!L26*1000/$L$2,0)</f>
        <v>873</v>
      </c>
      <c r="M26" s="49">
        <f>ROUND('表１８'!M26*1000/$L$2,0)</f>
        <v>35</v>
      </c>
      <c r="N26" s="401">
        <f>ROUND('表１８'!N26*1000/$L$2,0)</f>
        <v>0</v>
      </c>
      <c r="O26" s="406"/>
    </row>
    <row r="27" spans="1:15" ht="21" customHeight="1">
      <c r="A27" s="1098"/>
      <c r="B27" s="966"/>
      <c r="C27" s="152" t="s">
        <v>150</v>
      </c>
      <c r="D27" s="238">
        <f>ROUND('表１８'!D27*1000/$L$2,0)</f>
        <v>714</v>
      </c>
      <c r="E27" s="49">
        <f>ROUND('表１８'!E27*1000/$L$2,0)</f>
        <v>650</v>
      </c>
      <c r="F27" s="49">
        <f>ROUND('表１８'!F27*1000/$L$2,0)</f>
        <v>234</v>
      </c>
      <c r="G27" s="49">
        <f>ROUND('表１８'!G27*1000/$L$2,0)</f>
        <v>10</v>
      </c>
      <c r="H27" s="49">
        <f>ROUND('表１８'!H27*1000/$L$2,0)</f>
        <v>406</v>
      </c>
      <c r="I27" s="49">
        <f>ROUND('表１８'!I27*1000/$L$2,0)</f>
        <v>64</v>
      </c>
      <c r="J27" s="49">
        <f>ROUND('表１８'!J27*1000/$L$2,0)</f>
        <v>0</v>
      </c>
      <c r="K27" s="49">
        <f>ROUND('表１８'!K27*1000/$L$2,0)</f>
        <v>0</v>
      </c>
      <c r="L27" s="49">
        <f>ROUND('表１８'!L27*1000/$L$2,0)</f>
        <v>572</v>
      </c>
      <c r="M27" s="49">
        <f>ROUND('表１８'!M27*1000/$L$2,0)</f>
        <v>131</v>
      </c>
      <c r="N27" s="401">
        <f>ROUND('表１８'!N27*1000/$L$2,0)</f>
        <v>11</v>
      </c>
      <c r="O27" s="406"/>
    </row>
    <row r="28" spans="1:15" ht="21" customHeight="1" thickBot="1">
      <c r="A28" s="1099"/>
      <c r="B28" s="1120" t="s">
        <v>151</v>
      </c>
      <c r="C28" s="1125"/>
      <c r="D28" s="241">
        <f>ROUND('表１８'!D28*1000/$L$2,0)</f>
        <v>5450</v>
      </c>
      <c r="E28" s="59">
        <f>ROUND('表１８'!E28*1000/$L$2,0)</f>
        <v>5352</v>
      </c>
      <c r="F28" s="59">
        <f>ROUND('表１８'!F28*1000/$L$2,0)</f>
        <v>33</v>
      </c>
      <c r="G28" s="59">
        <f>ROUND('表１８'!G28*1000/$L$2,0)</f>
        <v>34</v>
      </c>
      <c r="H28" s="59">
        <f>ROUND('表１８'!H28*1000/$L$2,0)</f>
        <v>5285</v>
      </c>
      <c r="I28" s="59">
        <f>ROUND('表１８'!I28*1000/$L$2,0)</f>
        <v>98</v>
      </c>
      <c r="J28" s="59">
        <f>ROUND('表１８'!J28*1000/$L$2,0)</f>
        <v>0</v>
      </c>
      <c r="K28" s="59">
        <f>ROUND('表１８'!K28*1000/$L$2,0)</f>
        <v>0</v>
      </c>
      <c r="L28" s="59">
        <f>ROUND('表１８'!L28*1000/$L$2,0)</f>
        <v>5378</v>
      </c>
      <c r="M28" s="59">
        <f>ROUND('表１８'!M28*1000/$L$2,0)</f>
        <v>71</v>
      </c>
      <c r="N28" s="402">
        <f>ROUND('表１８'!N28*1000/$L$2,0)</f>
        <v>2</v>
      </c>
      <c r="O28" s="60">
        <f>ROUND('表１８'!O28*1000/$L$2,0)</f>
        <v>1</v>
      </c>
    </row>
    <row r="29" ht="18" customHeight="1">
      <c r="A29" s="7" t="s">
        <v>120</v>
      </c>
    </row>
  </sheetData>
  <sheetProtection/>
  <mergeCells count="16">
    <mergeCell ref="O3:O4"/>
    <mergeCell ref="I3:I4"/>
    <mergeCell ref="K3:K4"/>
    <mergeCell ref="L3:N3"/>
    <mergeCell ref="A3:C4"/>
    <mergeCell ref="D3:D4"/>
    <mergeCell ref="E3:H3"/>
    <mergeCell ref="J3:J4"/>
    <mergeCell ref="L2:M2"/>
    <mergeCell ref="A17:A28"/>
    <mergeCell ref="B18:B27"/>
    <mergeCell ref="B28:C28"/>
    <mergeCell ref="A5:A16"/>
    <mergeCell ref="B5:C5"/>
    <mergeCell ref="B6:B15"/>
    <mergeCell ref="B16:C16"/>
  </mergeCells>
  <printOptions/>
  <pageMargins left="0.7874015748031497" right="0.7874015748031497" top="0.76" bottom="0.54" header="0.5118110236220472" footer="0.5118110236220472"/>
  <pageSetup fitToHeight="1" fitToWidth="1"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F14" sqref="F14"/>
    </sheetView>
  </sheetViews>
  <sheetFormatPr defaultColWidth="9.00390625" defaultRowHeight="13.5"/>
  <cols>
    <col min="1" max="1" width="2.625" style="7" customWidth="1"/>
    <col min="2" max="3" width="2.125" style="7" customWidth="1"/>
    <col min="4" max="4" width="2.625" style="7" customWidth="1"/>
    <col min="5" max="5" width="11.50390625" style="7" customWidth="1"/>
    <col min="6" max="9" width="14.625" style="7" customWidth="1"/>
    <col min="10" max="10" width="16.25390625" style="7" customWidth="1"/>
    <col min="11" max="11" width="12.75390625" style="7" hidden="1" customWidth="1"/>
    <col min="12" max="16384" width="9.00390625" style="7" customWidth="1"/>
  </cols>
  <sheetData>
    <row r="1" spans="1:10" ht="21" customHeight="1" thickBot="1">
      <c r="A1" s="950" t="s">
        <v>407</v>
      </c>
      <c r="B1" s="919"/>
      <c r="C1" s="919"/>
      <c r="D1" s="919"/>
      <c r="E1" s="919"/>
      <c r="F1" s="919"/>
      <c r="G1" s="919"/>
      <c r="H1" s="919"/>
      <c r="J1" s="7" t="s">
        <v>299</v>
      </c>
    </row>
    <row r="2" spans="1:10" ht="27.75" customHeight="1" thickBot="1">
      <c r="A2" s="951" t="s">
        <v>279</v>
      </c>
      <c r="B2" s="952"/>
      <c r="C2" s="952"/>
      <c r="D2" s="952"/>
      <c r="E2" s="953"/>
      <c r="F2" s="14" t="s">
        <v>325</v>
      </c>
      <c r="G2" s="14" t="s">
        <v>327</v>
      </c>
      <c r="H2" s="14" t="s">
        <v>328</v>
      </c>
      <c r="I2" s="14" t="s">
        <v>329</v>
      </c>
      <c r="J2" s="139" t="s">
        <v>555</v>
      </c>
    </row>
    <row r="3" spans="1:11" ht="27.75" customHeight="1" thickTop="1">
      <c r="A3" s="954" t="s">
        <v>27</v>
      </c>
      <c r="B3" s="940" t="s">
        <v>28</v>
      </c>
      <c r="C3" s="940"/>
      <c r="D3" s="940"/>
      <c r="E3" s="940"/>
      <c r="F3" s="186">
        <v>193350335</v>
      </c>
      <c r="G3" s="155">
        <v>188476972</v>
      </c>
      <c r="H3" s="186">
        <v>191113147</v>
      </c>
      <c r="I3" s="155">
        <v>184853627</v>
      </c>
      <c r="J3" s="184">
        <f>J4+J16+J17</f>
        <v>185172618</v>
      </c>
      <c r="K3" s="463">
        <f>K4+K16+K17</f>
        <v>184853627</v>
      </c>
    </row>
    <row r="4" spans="1:11" ht="27.75" customHeight="1">
      <c r="A4" s="955"/>
      <c r="B4" s="941"/>
      <c r="C4" s="944" t="s">
        <v>29</v>
      </c>
      <c r="D4" s="944"/>
      <c r="E4" s="944"/>
      <c r="F4" s="115">
        <v>160107225</v>
      </c>
      <c r="G4" s="115">
        <v>155683780</v>
      </c>
      <c r="H4" s="115">
        <v>157069683</v>
      </c>
      <c r="I4" s="115">
        <v>155155034</v>
      </c>
      <c r="J4" s="185">
        <f>'表２１－１'!E10</f>
        <v>155605191</v>
      </c>
      <c r="K4" s="463">
        <f>'表２１－１'!D10</f>
        <v>155155034</v>
      </c>
    </row>
    <row r="5" spans="1:11" ht="26.25" customHeight="1">
      <c r="A5" s="955"/>
      <c r="B5" s="942"/>
      <c r="C5" s="941"/>
      <c r="D5" s="934" t="s">
        <v>30</v>
      </c>
      <c r="E5" s="934"/>
      <c r="F5" s="116">
        <v>2370885</v>
      </c>
      <c r="G5" s="116">
        <v>2040937</v>
      </c>
      <c r="H5" s="116">
        <v>2049404</v>
      </c>
      <c r="I5" s="116">
        <v>1644298</v>
      </c>
      <c r="J5" s="140">
        <f>'表２１－１'!E11</f>
        <v>1493749</v>
      </c>
      <c r="K5" s="463">
        <f>'表２１－１'!D11</f>
        <v>1644298</v>
      </c>
    </row>
    <row r="6" spans="1:11" ht="26.25" customHeight="1">
      <c r="A6" s="955"/>
      <c r="B6" s="942"/>
      <c r="C6" s="942"/>
      <c r="D6" s="934" t="s">
        <v>31</v>
      </c>
      <c r="E6" s="934"/>
      <c r="F6" s="116">
        <v>65587664</v>
      </c>
      <c r="G6" s="116">
        <v>67835672</v>
      </c>
      <c r="H6" s="116">
        <v>70152070</v>
      </c>
      <c r="I6" s="116">
        <v>68862366</v>
      </c>
      <c r="J6" s="140">
        <f>'表２１－１'!E12</f>
        <v>67762179</v>
      </c>
      <c r="K6" s="463">
        <f>'表２１－１'!D12</f>
        <v>68862366</v>
      </c>
    </row>
    <row r="7" spans="1:11" ht="26.25" customHeight="1">
      <c r="A7" s="955"/>
      <c r="B7" s="942"/>
      <c r="C7" s="942"/>
      <c r="D7" s="934" t="s">
        <v>32</v>
      </c>
      <c r="E7" s="934"/>
      <c r="F7" s="116">
        <v>42327937</v>
      </c>
      <c r="G7" s="116">
        <v>42215961</v>
      </c>
      <c r="H7" s="116">
        <v>41626416</v>
      </c>
      <c r="I7" s="116">
        <v>38922117</v>
      </c>
      <c r="J7" s="140">
        <f>'表２１－１'!E13</f>
        <v>37540518</v>
      </c>
      <c r="K7" s="463">
        <f>'表２１－１'!D13</f>
        <v>38922117</v>
      </c>
    </row>
    <row r="8" spans="1:11" ht="26.25" customHeight="1">
      <c r="A8" s="955"/>
      <c r="B8" s="942"/>
      <c r="C8" s="942"/>
      <c r="D8" s="934" t="s">
        <v>243</v>
      </c>
      <c r="E8" s="934"/>
      <c r="F8" s="116">
        <v>9291172</v>
      </c>
      <c r="G8" s="116">
        <v>10031857</v>
      </c>
      <c r="H8" s="116">
        <v>9587455</v>
      </c>
      <c r="I8" s="116">
        <v>9820800</v>
      </c>
      <c r="J8" s="140">
        <f>'表２１－１'!E14</f>
        <v>10008782</v>
      </c>
      <c r="K8" s="463">
        <f>'表２１－１'!D14</f>
        <v>9820800</v>
      </c>
    </row>
    <row r="9" spans="1:11" ht="26.25" customHeight="1">
      <c r="A9" s="955"/>
      <c r="B9" s="942"/>
      <c r="C9" s="942"/>
      <c r="D9" s="948" t="s">
        <v>33</v>
      </c>
      <c r="E9" s="9" t="s">
        <v>34</v>
      </c>
      <c r="F9" s="116">
        <v>36404790</v>
      </c>
      <c r="G9" s="116">
        <v>29382144</v>
      </c>
      <c r="H9" s="116">
        <v>29541428</v>
      </c>
      <c r="I9" s="116">
        <v>31278749</v>
      </c>
      <c r="J9" s="140">
        <f>'表２１－１'!E15</f>
        <v>33668766</v>
      </c>
      <c r="K9" s="463">
        <f>'表２１－１'!D15</f>
        <v>31278749</v>
      </c>
    </row>
    <row r="10" spans="1:11" ht="26.25" customHeight="1">
      <c r="A10" s="955"/>
      <c r="B10" s="942"/>
      <c r="C10" s="942"/>
      <c r="D10" s="948"/>
      <c r="E10" s="9" t="s">
        <v>35</v>
      </c>
      <c r="F10" s="116">
        <v>904926</v>
      </c>
      <c r="G10" s="116">
        <v>878101</v>
      </c>
      <c r="H10" s="116">
        <v>886827</v>
      </c>
      <c r="I10" s="116">
        <v>896539</v>
      </c>
      <c r="J10" s="140">
        <f>'表２１－１'!E16</f>
        <v>942570</v>
      </c>
      <c r="K10" s="463">
        <f>'表２１－１'!D16</f>
        <v>896539</v>
      </c>
    </row>
    <row r="11" spans="1:11" ht="26.25" customHeight="1">
      <c r="A11" s="955"/>
      <c r="B11" s="942"/>
      <c r="C11" s="942"/>
      <c r="D11" s="948"/>
      <c r="E11" s="9" t="s">
        <v>36</v>
      </c>
      <c r="F11" s="116">
        <v>182081</v>
      </c>
      <c r="G11" s="116">
        <v>177366</v>
      </c>
      <c r="H11" s="116">
        <v>173464</v>
      </c>
      <c r="I11" s="116">
        <v>177018</v>
      </c>
      <c r="J11" s="140">
        <f>'表２１－１'!E17</f>
        <v>168970</v>
      </c>
      <c r="K11" s="463">
        <f>'表２１－１'!D17</f>
        <v>177018</v>
      </c>
    </row>
    <row r="12" spans="1:11" ht="26.25" customHeight="1">
      <c r="A12" s="955"/>
      <c r="B12" s="942"/>
      <c r="C12" s="942"/>
      <c r="D12" s="949"/>
      <c r="E12" s="8" t="s">
        <v>37</v>
      </c>
      <c r="F12" s="116">
        <v>37491797</v>
      </c>
      <c r="G12" s="116">
        <v>30437611</v>
      </c>
      <c r="H12" s="116">
        <v>30601719</v>
      </c>
      <c r="I12" s="116">
        <v>32352306</v>
      </c>
      <c r="J12" s="140">
        <f>SUM(J9:J11)</f>
        <v>34780306</v>
      </c>
      <c r="K12" s="463">
        <f>SUM(K9:K11)</f>
        <v>32352306</v>
      </c>
    </row>
    <row r="13" spans="1:11" ht="26.25" customHeight="1">
      <c r="A13" s="955"/>
      <c r="B13" s="942"/>
      <c r="C13" s="942"/>
      <c r="D13" s="958" t="s">
        <v>38</v>
      </c>
      <c r="E13" s="959"/>
      <c r="F13" s="116">
        <v>2235734</v>
      </c>
      <c r="G13" s="116">
        <v>2230797</v>
      </c>
      <c r="H13" s="116">
        <v>2130789</v>
      </c>
      <c r="I13" s="116">
        <v>2236940</v>
      </c>
      <c r="J13" s="140">
        <f>'表２１－１'!E18</f>
        <v>2307137</v>
      </c>
      <c r="K13" s="463">
        <f>'表２１－１'!D18</f>
        <v>2236940</v>
      </c>
    </row>
    <row r="14" spans="1:11" ht="26.25" customHeight="1">
      <c r="A14" s="955"/>
      <c r="B14" s="942"/>
      <c r="C14" s="942"/>
      <c r="D14" s="934" t="s">
        <v>39</v>
      </c>
      <c r="E14" s="934"/>
      <c r="F14" s="116">
        <v>188221</v>
      </c>
      <c r="G14" s="116">
        <v>192887</v>
      </c>
      <c r="H14" s="116">
        <v>206787</v>
      </c>
      <c r="I14" s="116">
        <v>246601</v>
      </c>
      <c r="J14" s="140">
        <f>'表２１－１'!E19</f>
        <v>212128</v>
      </c>
      <c r="K14" s="463">
        <f>'表２１－１'!D19</f>
        <v>246601</v>
      </c>
    </row>
    <row r="15" spans="1:11" ht="26.25" customHeight="1">
      <c r="A15" s="955"/>
      <c r="B15" s="942"/>
      <c r="C15" s="946"/>
      <c r="D15" s="935" t="s">
        <v>323</v>
      </c>
      <c r="E15" s="936"/>
      <c r="F15" s="116">
        <v>613815</v>
      </c>
      <c r="G15" s="116">
        <v>698058</v>
      </c>
      <c r="H15" s="116">
        <v>715043</v>
      </c>
      <c r="I15" s="116">
        <v>1069606</v>
      </c>
      <c r="J15" s="140">
        <f>'表２１－１'!E22</f>
        <v>1500392</v>
      </c>
      <c r="K15" s="463">
        <f>'表２１－１'!D22</f>
        <v>1069606</v>
      </c>
    </row>
    <row r="16" spans="1:11" ht="27.75" customHeight="1">
      <c r="A16" s="955"/>
      <c r="B16" s="942"/>
      <c r="C16" s="945" t="s">
        <v>40</v>
      </c>
      <c r="D16" s="945"/>
      <c r="E16" s="945"/>
      <c r="F16" s="117">
        <v>22090030</v>
      </c>
      <c r="G16" s="117">
        <v>21391800</v>
      </c>
      <c r="H16" s="117">
        <v>21783161</v>
      </c>
      <c r="I16" s="117">
        <v>17731350</v>
      </c>
      <c r="J16" s="153">
        <f>'表２１－１'!E25</f>
        <v>17407800</v>
      </c>
      <c r="K16" s="463">
        <f>'表２１－１'!D25</f>
        <v>17731350</v>
      </c>
    </row>
    <row r="17" spans="1:11" ht="27.75" customHeight="1" thickBot="1">
      <c r="A17" s="956"/>
      <c r="B17" s="947"/>
      <c r="C17" s="957" t="s">
        <v>41</v>
      </c>
      <c r="D17" s="957"/>
      <c r="E17" s="957"/>
      <c r="F17" s="118">
        <v>11153080</v>
      </c>
      <c r="G17" s="118">
        <v>11401392</v>
      </c>
      <c r="H17" s="118">
        <v>12260303</v>
      </c>
      <c r="I17" s="118">
        <v>11967243</v>
      </c>
      <c r="J17" s="141">
        <f>'表２１－１'!E37</f>
        <v>12159627</v>
      </c>
      <c r="K17" s="463">
        <f>'表２１－１'!D37</f>
        <v>11967243</v>
      </c>
    </row>
    <row r="18" spans="1:11" ht="27.75" customHeight="1" thickTop="1">
      <c r="A18" s="937" t="s">
        <v>42</v>
      </c>
      <c r="B18" s="940" t="s">
        <v>28</v>
      </c>
      <c r="C18" s="940"/>
      <c r="D18" s="940"/>
      <c r="E18" s="940"/>
      <c r="F18" s="187">
        <v>100</v>
      </c>
      <c r="G18" s="251">
        <f aca="true" t="shared" si="0" ref="G18:G32">G3/F3*100</f>
        <v>97.47951665043662</v>
      </c>
      <c r="H18" s="188">
        <f aca="true" t="shared" si="1" ref="H18:H32">H3/F3*100</f>
        <v>98.84293554495264</v>
      </c>
      <c r="I18" s="189">
        <f aca="true" t="shared" si="2" ref="I18:I32">I3/F3*100</f>
        <v>95.60553748200125</v>
      </c>
      <c r="J18" s="190">
        <f aca="true" t="shared" si="3" ref="J18:J32">J3/F3*100</f>
        <v>95.77051831847098</v>
      </c>
      <c r="K18" s="191"/>
    </row>
    <row r="19" spans="1:11" ht="27.75" customHeight="1">
      <c r="A19" s="938"/>
      <c r="B19" s="941"/>
      <c r="C19" s="944" t="s">
        <v>29</v>
      </c>
      <c r="D19" s="944"/>
      <c r="E19" s="944"/>
      <c r="F19" s="187">
        <v>100</v>
      </c>
      <c r="G19" s="187">
        <f t="shared" si="0"/>
        <v>97.23719838377063</v>
      </c>
      <c r="H19" s="188">
        <f t="shared" si="1"/>
        <v>98.10280766530055</v>
      </c>
      <c r="I19" s="187">
        <f t="shared" si="2"/>
        <v>96.90695344947737</v>
      </c>
      <c r="J19" s="192">
        <f t="shared" si="3"/>
        <v>97.18811315354444</v>
      </c>
      <c r="K19" s="191"/>
    </row>
    <row r="20" spans="1:11" ht="26.25" customHeight="1">
      <c r="A20" s="938"/>
      <c r="B20" s="942"/>
      <c r="C20" s="941"/>
      <c r="D20" s="934" t="s">
        <v>30</v>
      </c>
      <c r="E20" s="934"/>
      <c r="F20" s="187">
        <v>100</v>
      </c>
      <c r="G20" s="187">
        <f t="shared" si="0"/>
        <v>86.08334018731402</v>
      </c>
      <c r="H20" s="188">
        <f t="shared" si="1"/>
        <v>86.44046421483961</v>
      </c>
      <c r="I20" s="187">
        <f t="shared" si="2"/>
        <v>69.35376452253061</v>
      </c>
      <c r="J20" s="192">
        <f t="shared" si="3"/>
        <v>63.00385720943867</v>
      </c>
      <c r="K20" s="191"/>
    </row>
    <row r="21" spans="1:11" ht="26.25" customHeight="1">
      <c r="A21" s="938"/>
      <c r="B21" s="942"/>
      <c r="C21" s="942"/>
      <c r="D21" s="934" t="s">
        <v>31</v>
      </c>
      <c r="E21" s="934"/>
      <c r="F21" s="187">
        <v>100</v>
      </c>
      <c r="G21" s="187">
        <f t="shared" si="0"/>
        <v>103.42748599797669</v>
      </c>
      <c r="H21" s="188">
        <f t="shared" si="1"/>
        <v>106.95924465307989</v>
      </c>
      <c r="I21" s="187">
        <f t="shared" si="2"/>
        <v>104.99286268222635</v>
      </c>
      <c r="J21" s="192">
        <f t="shared" si="3"/>
        <v>103.31543291433584</v>
      </c>
      <c r="K21" s="191"/>
    </row>
    <row r="22" spans="1:11" ht="26.25" customHeight="1">
      <c r="A22" s="938"/>
      <c r="B22" s="942"/>
      <c r="C22" s="942"/>
      <c r="D22" s="934" t="s">
        <v>32</v>
      </c>
      <c r="E22" s="934"/>
      <c r="F22" s="187">
        <v>100</v>
      </c>
      <c r="G22" s="187">
        <f t="shared" si="0"/>
        <v>99.73545604171544</v>
      </c>
      <c r="H22" s="188">
        <f t="shared" si="1"/>
        <v>98.34265251339794</v>
      </c>
      <c r="I22" s="187">
        <f t="shared" si="2"/>
        <v>91.95373022786345</v>
      </c>
      <c r="J22" s="192">
        <f t="shared" si="3"/>
        <v>88.68969446821848</v>
      </c>
      <c r="K22" s="191"/>
    </row>
    <row r="23" spans="1:11" ht="26.25" customHeight="1">
      <c r="A23" s="938"/>
      <c r="B23" s="942"/>
      <c r="C23" s="942"/>
      <c r="D23" s="934" t="s">
        <v>243</v>
      </c>
      <c r="E23" s="934"/>
      <c r="F23" s="187">
        <v>100</v>
      </c>
      <c r="G23" s="187">
        <f t="shared" si="0"/>
        <v>107.97192216439433</v>
      </c>
      <c r="H23" s="188">
        <f t="shared" si="1"/>
        <v>103.1888657319012</v>
      </c>
      <c r="I23" s="187">
        <f t="shared" si="2"/>
        <v>105.70033575957909</v>
      </c>
      <c r="J23" s="192">
        <f t="shared" si="3"/>
        <v>107.72356813543007</v>
      </c>
      <c r="K23" s="191"/>
    </row>
    <row r="24" spans="1:11" ht="26.25" customHeight="1">
      <c r="A24" s="938"/>
      <c r="B24" s="942"/>
      <c r="C24" s="942"/>
      <c r="D24" s="948" t="s">
        <v>33</v>
      </c>
      <c r="E24" s="9" t="s">
        <v>34</v>
      </c>
      <c r="F24" s="187">
        <v>100</v>
      </c>
      <c r="G24" s="187">
        <f t="shared" si="0"/>
        <v>80.70955497889152</v>
      </c>
      <c r="H24" s="188">
        <f t="shared" si="1"/>
        <v>81.14709080865458</v>
      </c>
      <c r="I24" s="187">
        <f t="shared" si="2"/>
        <v>85.91932270451224</v>
      </c>
      <c r="J24" s="192">
        <f t="shared" si="3"/>
        <v>92.48443954765293</v>
      </c>
      <c r="K24" s="191"/>
    </row>
    <row r="25" spans="1:11" ht="26.25" customHeight="1">
      <c r="A25" s="938"/>
      <c r="B25" s="942"/>
      <c r="C25" s="942"/>
      <c r="D25" s="948"/>
      <c r="E25" s="9" t="s">
        <v>35</v>
      </c>
      <c r="F25" s="187">
        <v>100</v>
      </c>
      <c r="G25" s="187">
        <f t="shared" si="0"/>
        <v>97.03566921494134</v>
      </c>
      <c r="H25" s="188">
        <f t="shared" si="1"/>
        <v>97.99994695698875</v>
      </c>
      <c r="I25" s="187">
        <f t="shared" si="2"/>
        <v>99.07318388464913</v>
      </c>
      <c r="J25" s="192">
        <f t="shared" si="3"/>
        <v>104.1598981574184</v>
      </c>
      <c r="K25" s="191"/>
    </row>
    <row r="26" spans="1:11" ht="26.25" customHeight="1">
      <c r="A26" s="938"/>
      <c r="B26" s="942"/>
      <c r="C26" s="942"/>
      <c r="D26" s="948"/>
      <c r="E26" s="9" t="s">
        <v>36</v>
      </c>
      <c r="F26" s="187">
        <v>100</v>
      </c>
      <c r="G26" s="187">
        <f t="shared" si="0"/>
        <v>97.41049313217744</v>
      </c>
      <c r="H26" s="188">
        <f t="shared" si="1"/>
        <v>95.26749084198791</v>
      </c>
      <c r="I26" s="187">
        <f t="shared" si="2"/>
        <v>97.21936940153009</v>
      </c>
      <c r="J26" s="192">
        <f t="shared" si="3"/>
        <v>92.79935852724887</v>
      </c>
      <c r="K26" s="191"/>
    </row>
    <row r="27" spans="1:13" ht="26.25" customHeight="1">
      <c r="A27" s="938"/>
      <c r="B27" s="942"/>
      <c r="C27" s="942"/>
      <c r="D27" s="949"/>
      <c r="E27" s="8" t="s">
        <v>37</v>
      </c>
      <c r="F27" s="187">
        <v>100</v>
      </c>
      <c r="G27" s="187">
        <f t="shared" si="0"/>
        <v>81.18472155389084</v>
      </c>
      <c r="H27" s="188">
        <f t="shared" si="1"/>
        <v>81.62243863637691</v>
      </c>
      <c r="I27" s="187">
        <f t="shared" si="2"/>
        <v>86.29169201999039</v>
      </c>
      <c r="J27" s="192">
        <f t="shared" si="3"/>
        <v>92.76777530828943</v>
      </c>
      <c r="K27" s="191"/>
      <c r="M27" s="435"/>
    </row>
    <row r="28" spans="1:11" ht="26.25" customHeight="1">
      <c r="A28" s="938"/>
      <c r="B28" s="942"/>
      <c r="C28" s="942"/>
      <c r="D28" s="931" t="s">
        <v>38</v>
      </c>
      <c r="E28" s="932"/>
      <c r="F28" s="187">
        <v>100</v>
      </c>
      <c r="G28" s="187">
        <f t="shared" si="0"/>
        <v>99.77917766603719</v>
      </c>
      <c r="H28" s="188">
        <f t="shared" si="1"/>
        <v>95.30601583193707</v>
      </c>
      <c r="I28" s="187">
        <f t="shared" si="2"/>
        <v>100.05394201635794</v>
      </c>
      <c r="J28" s="192">
        <f t="shared" si="3"/>
        <v>103.19371624710274</v>
      </c>
      <c r="K28" s="191"/>
    </row>
    <row r="29" spans="1:11" ht="26.25" customHeight="1">
      <c r="A29" s="938"/>
      <c r="B29" s="942"/>
      <c r="C29" s="942"/>
      <c r="D29" s="934" t="s">
        <v>39</v>
      </c>
      <c r="E29" s="934"/>
      <c r="F29" s="187">
        <v>100</v>
      </c>
      <c r="G29" s="187">
        <f t="shared" si="0"/>
        <v>102.47900074911938</v>
      </c>
      <c r="H29" s="188">
        <f t="shared" si="1"/>
        <v>109.8639365426812</v>
      </c>
      <c r="I29" s="187">
        <f t="shared" si="2"/>
        <v>131.01673033295967</v>
      </c>
      <c r="J29" s="193">
        <f t="shared" si="3"/>
        <v>112.70155827458149</v>
      </c>
      <c r="K29" s="434"/>
    </row>
    <row r="30" spans="1:12" ht="26.25" customHeight="1">
      <c r="A30" s="938"/>
      <c r="B30" s="942"/>
      <c r="C30" s="946"/>
      <c r="D30" s="935" t="s">
        <v>323</v>
      </c>
      <c r="E30" s="936"/>
      <c r="F30" s="187">
        <v>100</v>
      </c>
      <c r="G30" s="187">
        <f>G15/F15*100</f>
        <v>113.7244935363261</v>
      </c>
      <c r="H30" s="188">
        <f>H15/F15*100</f>
        <v>116.49161392276174</v>
      </c>
      <c r="I30" s="188">
        <f t="shared" si="2"/>
        <v>174.2554352695845</v>
      </c>
      <c r="J30" s="193">
        <f t="shared" si="3"/>
        <v>244.43716755048345</v>
      </c>
      <c r="K30" s="436"/>
      <c r="L30" s="435"/>
    </row>
    <row r="31" spans="1:11" ht="27.75" customHeight="1">
      <c r="A31" s="938"/>
      <c r="B31" s="942"/>
      <c r="C31" s="945" t="s">
        <v>40</v>
      </c>
      <c r="D31" s="945"/>
      <c r="E31" s="945"/>
      <c r="F31" s="187">
        <v>100</v>
      </c>
      <c r="G31" s="187">
        <f t="shared" si="0"/>
        <v>96.83916228271306</v>
      </c>
      <c r="H31" s="188">
        <f t="shared" si="1"/>
        <v>98.61082578882872</v>
      </c>
      <c r="I31" s="187">
        <f t="shared" si="2"/>
        <v>80.26856459678868</v>
      </c>
      <c r="J31" s="193">
        <f t="shared" si="3"/>
        <v>78.80387668101854</v>
      </c>
      <c r="K31" s="434"/>
    </row>
    <row r="32" spans="1:11" ht="27.75" customHeight="1" thickBot="1">
      <c r="A32" s="939"/>
      <c r="B32" s="943"/>
      <c r="C32" s="933" t="s">
        <v>41</v>
      </c>
      <c r="D32" s="933"/>
      <c r="E32" s="933"/>
      <c r="F32" s="194">
        <v>100</v>
      </c>
      <c r="G32" s="194">
        <f t="shared" si="0"/>
        <v>102.22639844778303</v>
      </c>
      <c r="H32" s="195">
        <f t="shared" si="1"/>
        <v>109.92750881370885</v>
      </c>
      <c r="I32" s="194">
        <f t="shared" si="2"/>
        <v>107.29989384098384</v>
      </c>
      <c r="J32" s="196">
        <f t="shared" si="3"/>
        <v>109.02483439552124</v>
      </c>
      <c r="K32" s="191"/>
    </row>
    <row r="34" ht="13.5">
      <c r="B34" s="464" t="s">
        <v>322</v>
      </c>
    </row>
  </sheetData>
  <sheetProtection/>
  <mergeCells count="32">
    <mergeCell ref="A1:H1"/>
    <mergeCell ref="D6:E6"/>
    <mergeCell ref="D7:E7"/>
    <mergeCell ref="C16:E16"/>
    <mergeCell ref="D8:E8"/>
    <mergeCell ref="D9:D12"/>
    <mergeCell ref="A2:E2"/>
    <mergeCell ref="A3:A17"/>
    <mergeCell ref="C17:E17"/>
    <mergeCell ref="D13:E13"/>
    <mergeCell ref="B3:E3"/>
    <mergeCell ref="B4:B17"/>
    <mergeCell ref="D24:D27"/>
    <mergeCell ref="C5:C15"/>
    <mergeCell ref="C4:E4"/>
    <mergeCell ref="D23:E23"/>
    <mergeCell ref="A18:A32"/>
    <mergeCell ref="B18:E18"/>
    <mergeCell ref="B19:B32"/>
    <mergeCell ref="C19:E19"/>
    <mergeCell ref="D20:E20"/>
    <mergeCell ref="D21:E21"/>
    <mergeCell ref="D29:E29"/>
    <mergeCell ref="C31:E31"/>
    <mergeCell ref="D30:E30"/>
    <mergeCell ref="C20:C30"/>
    <mergeCell ref="D28:E28"/>
    <mergeCell ref="C32:E32"/>
    <mergeCell ref="D14:E14"/>
    <mergeCell ref="D22:E22"/>
    <mergeCell ref="D5:E5"/>
    <mergeCell ref="D15:E15"/>
  </mergeCells>
  <printOptions/>
  <pageMargins left="0.7874015748031497" right="0.4724409448818898" top="0.984251968503937" bottom="0.984251968503937" header="0.5118110236220472" footer="0.5118110236220472"/>
  <pageSetup fitToHeight="1" fitToWidth="1" horizontalDpi="300" verticalDpi="300" orientation="portrait" paperSize="9" scale="89" r:id="rId1"/>
</worksheet>
</file>

<file path=xl/worksheets/sheet20.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E2" sqref="E2:E4"/>
    </sheetView>
  </sheetViews>
  <sheetFormatPr defaultColWidth="9.00390625" defaultRowHeight="13.5"/>
  <cols>
    <col min="1" max="1" width="4.00390625" style="61" customWidth="1"/>
    <col min="2" max="2" width="2.125" style="61" customWidth="1"/>
    <col min="3" max="3" width="2.875" style="61" customWidth="1"/>
    <col min="4" max="4" width="19.50390625" style="61" customWidth="1"/>
    <col min="5" max="10" width="13.25390625" style="61" customWidth="1"/>
    <col min="11" max="11" width="14.875" style="61" customWidth="1"/>
    <col min="12" max="16384" width="9.00390625" style="61" customWidth="1"/>
  </cols>
  <sheetData>
    <row r="1" spans="1:11" ht="28.5" customHeight="1" thickBot="1">
      <c r="A1" s="919" t="s">
        <v>309</v>
      </c>
      <c r="B1" s="919"/>
      <c r="C1" s="919"/>
      <c r="D1" s="919"/>
      <c r="E1" s="919"/>
      <c r="F1" s="919"/>
      <c r="G1" s="919"/>
      <c r="K1" s="22" t="s">
        <v>130</v>
      </c>
    </row>
    <row r="2" spans="1:11" ht="13.5">
      <c r="A2" s="1159" t="s">
        <v>154</v>
      </c>
      <c r="B2" s="1160"/>
      <c r="C2" s="1160"/>
      <c r="D2" s="1161"/>
      <c r="E2" s="1168" t="s">
        <v>155</v>
      </c>
      <c r="F2" s="1168" t="s">
        <v>156</v>
      </c>
      <c r="G2" s="1168" t="s">
        <v>157</v>
      </c>
      <c r="H2" s="1156" t="s">
        <v>158</v>
      </c>
      <c r="I2" s="1145" t="s">
        <v>159</v>
      </c>
      <c r="J2" s="1145" t="s">
        <v>160</v>
      </c>
      <c r="K2" s="1148" t="s">
        <v>37</v>
      </c>
    </row>
    <row r="3" spans="1:11" ht="13.5">
      <c r="A3" s="1162"/>
      <c r="B3" s="1163"/>
      <c r="C3" s="1163"/>
      <c r="D3" s="1164"/>
      <c r="E3" s="1169"/>
      <c r="F3" s="1169"/>
      <c r="G3" s="1169"/>
      <c r="H3" s="1157"/>
      <c r="I3" s="1146"/>
      <c r="J3" s="1146"/>
      <c r="K3" s="1149"/>
    </row>
    <row r="4" spans="1:11" ht="14.25" thickBot="1">
      <c r="A4" s="1165"/>
      <c r="B4" s="1166"/>
      <c r="C4" s="1166"/>
      <c r="D4" s="1167"/>
      <c r="E4" s="1170"/>
      <c r="F4" s="1170"/>
      <c r="G4" s="1170"/>
      <c r="H4" s="1158"/>
      <c r="I4" s="1147"/>
      <c r="J4" s="1147"/>
      <c r="K4" s="1150"/>
    </row>
    <row r="5" spans="1:11" ht="16.5" customHeight="1">
      <c r="A5" s="1151" t="s">
        <v>139</v>
      </c>
      <c r="B5" s="1154" t="s">
        <v>161</v>
      </c>
      <c r="C5" s="1154"/>
      <c r="D5" s="1154"/>
      <c r="E5" s="420">
        <f aca="true" t="shared" si="0" ref="E5:K5">SUM(E6:E9,E13:E19)</f>
        <v>2832314</v>
      </c>
      <c r="F5" s="420">
        <f t="shared" si="0"/>
        <v>43595</v>
      </c>
      <c r="G5" s="420">
        <f t="shared" si="0"/>
        <v>20196</v>
      </c>
      <c r="H5" s="420">
        <f t="shared" si="0"/>
        <v>43329</v>
      </c>
      <c r="I5" s="420">
        <f t="shared" si="0"/>
        <v>355565</v>
      </c>
      <c r="J5" s="420">
        <f t="shared" si="0"/>
        <v>231607</v>
      </c>
      <c r="K5" s="421">
        <f t="shared" si="0"/>
        <v>3526606</v>
      </c>
    </row>
    <row r="6" spans="1:11" ht="16.5" customHeight="1">
      <c r="A6" s="1152"/>
      <c r="B6" s="1142"/>
      <c r="C6" s="967" t="s">
        <v>30</v>
      </c>
      <c r="D6" s="967"/>
      <c r="E6" s="422"/>
      <c r="F6" s="422"/>
      <c r="G6" s="422"/>
      <c r="H6" s="422"/>
      <c r="I6" s="422"/>
      <c r="J6" s="422"/>
      <c r="K6" s="423"/>
    </row>
    <row r="7" spans="1:11" ht="16.5" customHeight="1">
      <c r="A7" s="1152"/>
      <c r="B7" s="1143"/>
      <c r="C7" s="967" t="s">
        <v>31</v>
      </c>
      <c r="D7" s="967"/>
      <c r="E7" s="422"/>
      <c r="F7" s="422"/>
      <c r="G7" s="422"/>
      <c r="H7" s="422"/>
      <c r="I7" s="422"/>
      <c r="J7" s="422"/>
      <c r="K7" s="423"/>
    </row>
    <row r="8" spans="1:11" ht="16.5" customHeight="1">
      <c r="A8" s="1152"/>
      <c r="B8" s="1143"/>
      <c r="C8" s="967" t="s">
        <v>32</v>
      </c>
      <c r="D8" s="967"/>
      <c r="E8" s="422"/>
      <c r="F8" s="422"/>
      <c r="G8" s="422"/>
      <c r="H8" s="422"/>
      <c r="I8" s="422"/>
      <c r="J8" s="422"/>
      <c r="K8" s="423"/>
    </row>
    <row r="9" spans="1:11" ht="16.5" customHeight="1">
      <c r="A9" s="1152"/>
      <c r="B9" s="1143"/>
      <c r="C9" s="967" t="s">
        <v>243</v>
      </c>
      <c r="D9" s="967"/>
      <c r="E9" s="416">
        <v>0</v>
      </c>
      <c r="F9" s="416">
        <v>0</v>
      </c>
      <c r="G9" s="416">
        <v>0</v>
      </c>
      <c r="H9" s="416">
        <v>0</v>
      </c>
      <c r="I9" s="416">
        <v>674</v>
      </c>
      <c r="J9" s="416">
        <v>0</v>
      </c>
      <c r="K9" s="424">
        <f>SUM(E9:J9)</f>
        <v>674</v>
      </c>
    </row>
    <row r="10" spans="1:11" ht="16.5" customHeight="1">
      <c r="A10" s="1152"/>
      <c r="B10" s="1143"/>
      <c r="C10" s="1135" t="s">
        <v>33</v>
      </c>
      <c r="D10" s="10" t="s">
        <v>34</v>
      </c>
      <c r="E10" s="416">
        <v>2669279</v>
      </c>
      <c r="F10" s="416">
        <v>41230</v>
      </c>
      <c r="G10" s="416">
        <v>18749</v>
      </c>
      <c r="H10" s="416">
        <v>40353</v>
      </c>
      <c r="I10" s="416">
        <v>104612</v>
      </c>
      <c r="J10" s="416">
        <v>0</v>
      </c>
      <c r="K10" s="424">
        <f aca="true" t="shared" si="1" ref="K10:K23">SUM(E10:J10)</f>
        <v>2874223</v>
      </c>
    </row>
    <row r="11" spans="1:11" ht="16.5" customHeight="1">
      <c r="A11" s="1152"/>
      <c r="B11" s="1143"/>
      <c r="C11" s="1136"/>
      <c r="D11" s="10" t="s">
        <v>35</v>
      </c>
      <c r="E11" s="416">
        <v>9837</v>
      </c>
      <c r="F11" s="416">
        <v>151</v>
      </c>
      <c r="G11" s="416">
        <v>92</v>
      </c>
      <c r="H11" s="416">
        <v>231</v>
      </c>
      <c r="I11" s="416">
        <v>58</v>
      </c>
      <c r="J11" s="416">
        <v>0</v>
      </c>
      <c r="K11" s="424">
        <f t="shared" si="1"/>
        <v>10369</v>
      </c>
    </row>
    <row r="12" spans="1:11" ht="16.5" customHeight="1">
      <c r="A12" s="1152"/>
      <c r="B12" s="1143"/>
      <c r="C12" s="1136"/>
      <c r="D12" s="10" t="s">
        <v>36</v>
      </c>
      <c r="E12" s="416">
        <v>3836</v>
      </c>
      <c r="F12" s="416">
        <v>61</v>
      </c>
      <c r="G12" s="416">
        <v>0</v>
      </c>
      <c r="H12" s="416">
        <v>105</v>
      </c>
      <c r="I12" s="416">
        <v>96</v>
      </c>
      <c r="J12" s="416">
        <v>0</v>
      </c>
      <c r="K12" s="424">
        <f t="shared" si="1"/>
        <v>4098</v>
      </c>
    </row>
    <row r="13" spans="1:11" ht="16.5" customHeight="1">
      <c r="A13" s="1152"/>
      <c r="B13" s="1143"/>
      <c r="C13" s="1060"/>
      <c r="D13" s="10" t="s">
        <v>37</v>
      </c>
      <c r="E13" s="416">
        <f aca="true" t="shared" si="2" ref="E13:J13">SUM(E10:E12)</f>
        <v>2682952</v>
      </c>
      <c r="F13" s="416">
        <f t="shared" si="2"/>
        <v>41442</v>
      </c>
      <c r="G13" s="416">
        <f t="shared" si="2"/>
        <v>18841</v>
      </c>
      <c r="H13" s="416">
        <f t="shared" si="2"/>
        <v>40689</v>
      </c>
      <c r="I13" s="416">
        <f t="shared" si="2"/>
        <v>104766</v>
      </c>
      <c r="J13" s="416">
        <f t="shared" si="2"/>
        <v>0</v>
      </c>
      <c r="K13" s="424">
        <f t="shared" si="1"/>
        <v>2888690</v>
      </c>
    </row>
    <row r="14" spans="1:11" ht="16.5" customHeight="1">
      <c r="A14" s="1152"/>
      <c r="B14" s="1143"/>
      <c r="C14" s="1053" t="s">
        <v>162</v>
      </c>
      <c r="D14" s="1054"/>
      <c r="E14" s="416">
        <v>141115</v>
      </c>
      <c r="F14" s="416">
        <v>2153</v>
      </c>
      <c r="G14" s="416">
        <v>1243</v>
      </c>
      <c r="H14" s="416">
        <v>2640</v>
      </c>
      <c r="I14" s="416">
        <v>474</v>
      </c>
      <c r="J14" s="416">
        <v>0</v>
      </c>
      <c r="K14" s="424">
        <f t="shared" si="1"/>
        <v>147625</v>
      </c>
    </row>
    <row r="15" spans="1:11" ht="16.5" customHeight="1">
      <c r="A15" s="1152"/>
      <c r="B15" s="1143"/>
      <c r="C15" s="967" t="s">
        <v>39</v>
      </c>
      <c r="D15" s="967"/>
      <c r="E15" s="416">
        <v>8247</v>
      </c>
      <c r="F15" s="416">
        <v>0</v>
      </c>
      <c r="G15" s="416">
        <v>112</v>
      </c>
      <c r="H15" s="422"/>
      <c r="I15" s="416">
        <v>7940</v>
      </c>
      <c r="J15" s="416">
        <v>0</v>
      </c>
      <c r="K15" s="424">
        <f t="shared" si="1"/>
        <v>16299</v>
      </c>
    </row>
    <row r="16" spans="1:11" ht="16.5" customHeight="1">
      <c r="A16" s="1152"/>
      <c r="B16" s="1143"/>
      <c r="C16" s="967" t="s">
        <v>316</v>
      </c>
      <c r="D16" s="967"/>
      <c r="E16" s="422"/>
      <c r="F16" s="422"/>
      <c r="G16" s="422"/>
      <c r="H16" s="422"/>
      <c r="I16" s="422"/>
      <c r="J16" s="422"/>
      <c r="K16" s="423"/>
    </row>
    <row r="17" spans="1:11" ht="16.5" customHeight="1">
      <c r="A17" s="1152"/>
      <c r="B17" s="1143"/>
      <c r="C17" s="967" t="s">
        <v>326</v>
      </c>
      <c r="D17" s="967"/>
      <c r="E17" s="422"/>
      <c r="F17" s="422"/>
      <c r="G17" s="422"/>
      <c r="H17" s="422"/>
      <c r="I17" s="422"/>
      <c r="J17" s="422"/>
      <c r="K17" s="423"/>
    </row>
    <row r="18" spans="1:11" ht="16.5" customHeight="1">
      <c r="A18" s="1152"/>
      <c r="B18" s="1143"/>
      <c r="C18" s="1053" t="s">
        <v>238</v>
      </c>
      <c r="D18" s="1132"/>
      <c r="E18" s="422"/>
      <c r="F18" s="422"/>
      <c r="G18" s="416">
        <v>0</v>
      </c>
      <c r="H18" s="422"/>
      <c r="I18" s="416">
        <v>71066</v>
      </c>
      <c r="J18" s="416">
        <v>0</v>
      </c>
      <c r="K18" s="424">
        <f t="shared" si="1"/>
        <v>71066</v>
      </c>
    </row>
    <row r="19" spans="1:11" ht="16.5" customHeight="1" thickBot="1">
      <c r="A19" s="1153"/>
      <c r="B19" s="1155"/>
      <c r="C19" s="1137" t="s">
        <v>239</v>
      </c>
      <c r="D19" s="1138"/>
      <c r="E19" s="425"/>
      <c r="F19" s="425"/>
      <c r="G19" s="426">
        <v>0</v>
      </c>
      <c r="H19" s="425"/>
      <c r="I19" s="426">
        <v>170645</v>
      </c>
      <c r="J19" s="426">
        <v>231607</v>
      </c>
      <c r="K19" s="427">
        <f>SUM(E19:J19)</f>
        <v>402252</v>
      </c>
    </row>
    <row r="20" spans="1:11" ht="16.5" customHeight="1" thickTop="1">
      <c r="A20" s="1139" t="s">
        <v>152</v>
      </c>
      <c r="B20" s="1141" t="s">
        <v>161</v>
      </c>
      <c r="C20" s="1141"/>
      <c r="D20" s="1141"/>
      <c r="E20" s="428">
        <f aca="true" t="shared" si="3" ref="E20:J20">SUM(E21:E34)</f>
        <v>46310</v>
      </c>
      <c r="F20" s="428">
        <f t="shared" si="3"/>
        <v>0</v>
      </c>
      <c r="G20" s="428">
        <f t="shared" si="3"/>
        <v>0</v>
      </c>
      <c r="H20" s="428">
        <f t="shared" si="3"/>
        <v>45082</v>
      </c>
      <c r="I20" s="428">
        <f t="shared" si="3"/>
        <v>582826</v>
      </c>
      <c r="J20" s="428">
        <f t="shared" si="3"/>
        <v>7381</v>
      </c>
      <c r="K20" s="429">
        <f t="shared" si="1"/>
        <v>681599</v>
      </c>
    </row>
    <row r="21" spans="1:11" ht="16.5" customHeight="1">
      <c r="A21" s="1139"/>
      <c r="B21" s="1142"/>
      <c r="C21" s="967" t="s">
        <v>30</v>
      </c>
      <c r="D21" s="967"/>
      <c r="E21" s="416">
        <v>0</v>
      </c>
      <c r="F21" s="416">
        <v>0</v>
      </c>
      <c r="G21" s="416">
        <v>0</v>
      </c>
      <c r="H21" s="416">
        <v>218</v>
      </c>
      <c r="I21" s="416">
        <v>6611</v>
      </c>
      <c r="J21" s="416">
        <v>0</v>
      </c>
      <c r="K21" s="424">
        <f>SUM(E21:J21)</f>
        <v>6829</v>
      </c>
    </row>
    <row r="22" spans="1:11" ht="16.5" customHeight="1">
      <c r="A22" s="1139"/>
      <c r="B22" s="1143"/>
      <c r="C22" s="967" t="s">
        <v>31</v>
      </c>
      <c r="D22" s="967"/>
      <c r="E22" s="422"/>
      <c r="F22" s="422"/>
      <c r="G22" s="422"/>
      <c r="H22" s="416">
        <v>28523</v>
      </c>
      <c r="I22" s="416">
        <v>28320</v>
      </c>
      <c r="J22" s="416">
        <v>0</v>
      </c>
      <c r="K22" s="424">
        <f t="shared" si="1"/>
        <v>56843</v>
      </c>
    </row>
    <row r="23" spans="1:11" ht="16.5" customHeight="1">
      <c r="A23" s="1139"/>
      <c r="B23" s="1143"/>
      <c r="C23" s="967" t="s">
        <v>32</v>
      </c>
      <c r="D23" s="967"/>
      <c r="E23" s="422"/>
      <c r="F23" s="422"/>
      <c r="G23" s="416"/>
      <c r="H23" s="416">
        <v>16159</v>
      </c>
      <c r="I23" s="416">
        <v>16467</v>
      </c>
      <c r="J23" s="416">
        <v>0</v>
      </c>
      <c r="K23" s="424">
        <f t="shared" si="1"/>
        <v>32626</v>
      </c>
    </row>
    <row r="24" spans="1:11" ht="16.5" customHeight="1">
      <c r="A24" s="1139"/>
      <c r="B24" s="1143"/>
      <c r="C24" s="967" t="s">
        <v>243</v>
      </c>
      <c r="D24" s="967"/>
      <c r="E24" s="422"/>
      <c r="F24" s="422"/>
      <c r="G24" s="430"/>
      <c r="H24" s="422"/>
      <c r="I24" s="422"/>
      <c r="J24" s="422"/>
      <c r="K24" s="423"/>
    </row>
    <row r="25" spans="1:11" ht="16.5" customHeight="1">
      <c r="A25" s="1139"/>
      <c r="B25" s="1143"/>
      <c r="C25" s="1135" t="s">
        <v>33</v>
      </c>
      <c r="D25" s="10" t="s">
        <v>34</v>
      </c>
      <c r="E25" s="422"/>
      <c r="F25" s="422"/>
      <c r="G25" s="422"/>
      <c r="H25" s="422"/>
      <c r="I25" s="422"/>
      <c r="J25" s="422"/>
      <c r="K25" s="423"/>
    </row>
    <row r="26" spans="1:11" ht="16.5" customHeight="1">
      <c r="A26" s="1139"/>
      <c r="B26" s="1143"/>
      <c r="C26" s="1136"/>
      <c r="D26" s="10" t="s">
        <v>35</v>
      </c>
      <c r="E26" s="422"/>
      <c r="F26" s="422"/>
      <c r="G26" s="422"/>
      <c r="H26" s="422"/>
      <c r="I26" s="422"/>
      <c r="J26" s="422"/>
      <c r="K26" s="423"/>
    </row>
    <row r="27" spans="1:11" ht="16.5" customHeight="1">
      <c r="A27" s="1139"/>
      <c r="B27" s="1143"/>
      <c r="C27" s="1136"/>
      <c r="D27" s="10" t="s">
        <v>36</v>
      </c>
      <c r="E27" s="422"/>
      <c r="F27" s="422"/>
      <c r="G27" s="422"/>
      <c r="H27" s="422"/>
      <c r="I27" s="422"/>
      <c r="J27" s="422"/>
      <c r="K27" s="423"/>
    </row>
    <row r="28" spans="1:11" ht="16.5" customHeight="1">
      <c r="A28" s="1139"/>
      <c r="B28" s="1143"/>
      <c r="C28" s="1060"/>
      <c r="D28" s="10" t="s">
        <v>37</v>
      </c>
      <c r="E28" s="422"/>
      <c r="F28" s="422"/>
      <c r="G28" s="422"/>
      <c r="H28" s="422"/>
      <c r="I28" s="422"/>
      <c r="J28" s="422"/>
      <c r="K28" s="423"/>
    </row>
    <row r="29" spans="1:11" ht="16.5" customHeight="1">
      <c r="A29" s="1139"/>
      <c r="B29" s="1143"/>
      <c r="C29" s="1053" t="s">
        <v>162</v>
      </c>
      <c r="D29" s="1132"/>
      <c r="E29" s="422"/>
      <c r="F29" s="422"/>
      <c r="G29" s="422"/>
      <c r="H29" s="422"/>
      <c r="I29" s="422"/>
      <c r="J29" s="422"/>
      <c r="K29" s="423"/>
    </row>
    <row r="30" spans="1:11" ht="16.5" customHeight="1">
      <c r="A30" s="1139"/>
      <c r="B30" s="1143"/>
      <c r="C30" s="967" t="s">
        <v>39</v>
      </c>
      <c r="D30" s="967"/>
      <c r="E30" s="422"/>
      <c r="F30" s="422"/>
      <c r="G30" s="422"/>
      <c r="H30" s="422"/>
      <c r="I30" s="422"/>
      <c r="J30" s="422"/>
      <c r="K30" s="423"/>
    </row>
    <row r="31" spans="1:11" ht="16.5" customHeight="1">
      <c r="A31" s="1139"/>
      <c r="B31" s="1143"/>
      <c r="C31" s="967" t="s">
        <v>316</v>
      </c>
      <c r="D31" s="967"/>
      <c r="E31" s="416">
        <v>46310</v>
      </c>
      <c r="F31" s="416">
        <v>0</v>
      </c>
      <c r="G31" s="416">
        <v>0</v>
      </c>
      <c r="H31" s="416">
        <v>182</v>
      </c>
      <c r="I31" s="416">
        <v>12609</v>
      </c>
      <c r="J31" s="416">
        <v>0</v>
      </c>
      <c r="K31" s="424">
        <f>SUM(E31:J31)</f>
        <v>59101</v>
      </c>
    </row>
    <row r="32" spans="1:11" ht="16.5" customHeight="1">
      <c r="A32" s="1139"/>
      <c r="B32" s="1143"/>
      <c r="C32" s="967" t="s">
        <v>326</v>
      </c>
      <c r="D32" s="967"/>
      <c r="E32" s="422"/>
      <c r="F32" s="422"/>
      <c r="G32" s="430"/>
      <c r="H32" s="422"/>
      <c r="I32" s="422"/>
      <c r="J32" s="422"/>
      <c r="K32" s="423"/>
    </row>
    <row r="33" spans="1:11" ht="16.5" customHeight="1">
      <c r="A33" s="1139"/>
      <c r="B33" s="1143"/>
      <c r="C33" s="1053" t="s">
        <v>238</v>
      </c>
      <c r="D33" s="1132"/>
      <c r="E33" s="422"/>
      <c r="F33" s="422"/>
      <c r="G33" s="416">
        <v>0</v>
      </c>
      <c r="H33" s="422"/>
      <c r="I33" s="416">
        <v>441518</v>
      </c>
      <c r="J33" s="416">
        <v>0</v>
      </c>
      <c r="K33" s="424">
        <f>SUM(E33:J33)</f>
        <v>441518</v>
      </c>
    </row>
    <row r="34" spans="1:11" ht="16.5" customHeight="1" thickBot="1">
      <c r="A34" s="1140"/>
      <c r="B34" s="1144"/>
      <c r="C34" s="1133" t="s">
        <v>239</v>
      </c>
      <c r="D34" s="1134"/>
      <c r="E34" s="431"/>
      <c r="F34" s="431"/>
      <c r="G34" s="432">
        <v>0</v>
      </c>
      <c r="H34" s="431"/>
      <c r="I34" s="432">
        <v>77301</v>
      </c>
      <c r="J34" s="432">
        <v>7381</v>
      </c>
      <c r="K34" s="433">
        <f>SUM(E34:J34)</f>
        <v>84682</v>
      </c>
    </row>
  </sheetData>
  <sheetProtection/>
  <mergeCells count="37">
    <mergeCell ref="C9:D9"/>
    <mergeCell ref="H2:H4"/>
    <mergeCell ref="A1:G1"/>
    <mergeCell ref="A2:D4"/>
    <mergeCell ref="E2:E4"/>
    <mergeCell ref="F2:F4"/>
    <mergeCell ref="G2:G4"/>
    <mergeCell ref="C30:D30"/>
    <mergeCell ref="I2:I4"/>
    <mergeCell ref="J2:J4"/>
    <mergeCell ref="K2:K4"/>
    <mergeCell ref="A5:A19"/>
    <mergeCell ref="B5:D5"/>
    <mergeCell ref="B6:B19"/>
    <mergeCell ref="C6:D6"/>
    <mergeCell ref="C7:D7"/>
    <mergeCell ref="C8:D8"/>
    <mergeCell ref="C17:D17"/>
    <mergeCell ref="A20:A34"/>
    <mergeCell ref="B20:D20"/>
    <mergeCell ref="B21:B34"/>
    <mergeCell ref="C21:D21"/>
    <mergeCell ref="C22:D22"/>
    <mergeCell ref="C23:D23"/>
    <mergeCell ref="C24:D24"/>
    <mergeCell ref="C25:C28"/>
    <mergeCell ref="C29:D29"/>
    <mergeCell ref="C32:D32"/>
    <mergeCell ref="C33:D33"/>
    <mergeCell ref="C34:D34"/>
    <mergeCell ref="C10:C13"/>
    <mergeCell ref="C14:D14"/>
    <mergeCell ref="C15:D15"/>
    <mergeCell ref="C18:D18"/>
    <mergeCell ref="C19:D19"/>
    <mergeCell ref="C16:D16"/>
    <mergeCell ref="C31:D31"/>
  </mergeCells>
  <printOptions/>
  <pageMargins left="0.75" right="0.75" top="0.8" bottom="0.54" header="0.512" footer="0.512"/>
  <pageSetup fitToHeight="1" fitToWidth="1" horizontalDpi="300" verticalDpi="300" orientation="landscape" paperSize="9" scale="91" r:id="rId1"/>
</worksheet>
</file>

<file path=xl/worksheets/sheet21.xml><?xml version="1.0" encoding="utf-8"?>
<worksheet xmlns="http://schemas.openxmlformats.org/spreadsheetml/2006/main" xmlns:r="http://schemas.openxmlformats.org/officeDocument/2006/relationships">
  <sheetPr>
    <pageSetUpPr fitToPage="1"/>
  </sheetPr>
  <dimension ref="A2:AB76"/>
  <sheetViews>
    <sheetView zoomScale="60" zoomScaleNormal="60" zoomScaleSheetLayoutView="30" zoomScalePageLayoutView="0" workbookViewId="0" topLeftCell="A1">
      <selection activeCell="I15" sqref="I15"/>
    </sheetView>
  </sheetViews>
  <sheetFormatPr defaultColWidth="9.00390625" defaultRowHeight="13.5"/>
  <cols>
    <col min="1" max="1" width="4.00390625" style="0" customWidth="1"/>
    <col min="2" max="2" width="13.875" style="0" customWidth="1"/>
    <col min="3" max="3" width="34.875" style="0" customWidth="1"/>
    <col min="4" max="5" width="17.375" style="0" customWidth="1"/>
    <col min="6" max="6" width="17.125" style="0" customWidth="1"/>
    <col min="7" max="7" width="11.50390625" style="0" customWidth="1"/>
    <col min="8" max="9" width="15.625" style="0" customWidth="1"/>
    <col min="10" max="10" width="16.25390625" style="0" customWidth="1"/>
    <col min="11" max="11" width="12.25390625" style="0" bestFit="1" customWidth="1"/>
    <col min="12" max="13" width="15.625" style="0" customWidth="1"/>
    <col min="14" max="14" width="17.50390625" style="0" customWidth="1"/>
    <col min="15" max="15" width="10.875" style="0" bestFit="1" customWidth="1"/>
    <col min="16" max="17" width="15.625" style="0" customWidth="1"/>
    <col min="18" max="18" width="17.25390625" style="0" customWidth="1"/>
    <col min="19" max="19" width="11.125" style="0" customWidth="1"/>
    <col min="20" max="21" width="15.50390625" style="0" customWidth="1"/>
    <col min="22" max="22" width="17.25390625" style="0" customWidth="1"/>
    <col min="23" max="23" width="12.25390625" style="0" customWidth="1"/>
    <col min="24" max="25" width="15.625" style="0" customWidth="1"/>
    <col min="26" max="26" width="16.00390625" style="0" customWidth="1"/>
    <col min="27" max="27" width="11.75390625" style="0" customWidth="1"/>
  </cols>
  <sheetData>
    <row r="2" spans="2:26" ht="42">
      <c r="B2" s="62" t="s">
        <v>310</v>
      </c>
      <c r="L2" s="63"/>
      <c r="Q2" s="63" t="s">
        <v>318</v>
      </c>
      <c r="T2" s="63"/>
      <c r="Z2" s="183" t="s">
        <v>58</v>
      </c>
    </row>
    <row r="3" ht="14.25" thickBot="1"/>
    <row r="4" spans="1:27" s="64" customFormat="1" ht="24" customHeight="1">
      <c r="A4" s="1175" t="s">
        <v>165</v>
      </c>
      <c r="B4" s="1176"/>
      <c r="C4" s="1177"/>
      <c r="D4" s="1184" t="s">
        <v>166</v>
      </c>
      <c r="E4" s="1185"/>
      <c r="F4" s="1185"/>
      <c r="G4" s="1186"/>
      <c r="H4" s="1190" t="s">
        <v>167</v>
      </c>
      <c r="I4" s="1191"/>
      <c r="J4" s="1191"/>
      <c r="K4" s="1191"/>
      <c r="L4" s="1191"/>
      <c r="M4" s="1191"/>
      <c r="N4" s="1191"/>
      <c r="O4" s="1191"/>
      <c r="P4" s="1191"/>
      <c r="Q4" s="1191"/>
      <c r="R4" s="1191"/>
      <c r="S4" s="1191"/>
      <c r="T4" s="1191"/>
      <c r="U4" s="1191"/>
      <c r="V4" s="1191"/>
      <c r="W4" s="1191"/>
      <c r="X4" s="1191"/>
      <c r="Y4" s="1191"/>
      <c r="Z4" s="1191"/>
      <c r="AA4" s="1192"/>
    </row>
    <row r="5" spans="1:27" s="64" customFormat="1" ht="24" customHeight="1">
      <c r="A5" s="1178"/>
      <c r="B5" s="1179"/>
      <c r="C5" s="1180"/>
      <c r="D5" s="1187"/>
      <c r="E5" s="1188"/>
      <c r="F5" s="1188"/>
      <c r="G5" s="1189"/>
      <c r="H5" s="1193" t="s">
        <v>270</v>
      </c>
      <c r="I5" s="1194"/>
      <c r="J5" s="1194"/>
      <c r="K5" s="1195"/>
      <c r="L5" s="1171" t="s">
        <v>247</v>
      </c>
      <c r="M5" s="1196"/>
      <c r="N5" s="1196"/>
      <c r="O5" s="1196"/>
      <c r="P5" s="1171" t="s">
        <v>271</v>
      </c>
      <c r="Q5" s="1171"/>
      <c r="R5" s="1171"/>
      <c r="S5" s="1171"/>
      <c r="T5" s="1171" t="s">
        <v>284</v>
      </c>
      <c r="U5" s="1171"/>
      <c r="V5" s="1171"/>
      <c r="W5" s="1171"/>
      <c r="X5" s="1171" t="s">
        <v>254</v>
      </c>
      <c r="Y5" s="1171"/>
      <c r="Z5" s="1171"/>
      <c r="AA5" s="1172"/>
    </row>
    <row r="6" spans="1:27" s="64" customFormat="1" ht="24" customHeight="1">
      <c r="A6" s="1181"/>
      <c r="B6" s="1182"/>
      <c r="C6" s="1183"/>
      <c r="D6" s="67" t="s">
        <v>169</v>
      </c>
      <c r="E6" s="67" t="s">
        <v>170</v>
      </c>
      <c r="F6" s="67" t="s">
        <v>171</v>
      </c>
      <c r="G6" s="68" t="s">
        <v>172</v>
      </c>
      <c r="H6" s="69" t="s">
        <v>169</v>
      </c>
      <c r="I6" s="69" t="s">
        <v>170</v>
      </c>
      <c r="J6" s="67" t="s">
        <v>173</v>
      </c>
      <c r="K6" s="68" t="s">
        <v>172</v>
      </c>
      <c r="L6" s="70" t="s">
        <v>174</v>
      </c>
      <c r="M6" s="69" t="s">
        <v>170</v>
      </c>
      <c r="N6" s="67" t="s">
        <v>173</v>
      </c>
      <c r="O6" s="68" t="s">
        <v>172</v>
      </c>
      <c r="P6" s="69" t="s">
        <v>169</v>
      </c>
      <c r="Q6" s="69" t="s">
        <v>170</v>
      </c>
      <c r="R6" s="67" t="s">
        <v>173</v>
      </c>
      <c r="S6" s="68" t="s">
        <v>172</v>
      </c>
      <c r="T6" s="69" t="s">
        <v>169</v>
      </c>
      <c r="U6" s="69" t="s">
        <v>170</v>
      </c>
      <c r="V6" s="67" t="s">
        <v>173</v>
      </c>
      <c r="W6" s="68" t="s">
        <v>172</v>
      </c>
      <c r="X6" s="69" t="s">
        <v>169</v>
      </c>
      <c r="Y6" s="69" t="s">
        <v>170</v>
      </c>
      <c r="Z6" s="67" t="s">
        <v>173</v>
      </c>
      <c r="AA6" s="135" t="s">
        <v>172</v>
      </c>
    </row>
    <row r="7" spans="1:27" ht="23.25" customHeight="1">
      <c r="A7" s="124"/>
      <c r="B7" s="71"/>
      <c r="C7" s="72"/>
      <c r="D7" s="259"/>
      <c r="E7" s="260"/>
      <c r="F7" s="261"/>
      <c r="G7" s="262"/>
      <c r="H7" s="259"/>
      <c r="I7" s="263"/>
      <c r="J7" s="264"/>
      <c r="K7" s="265"/>
      <c r="L7" s="259"/>
      <c r="M7" s="260"/>
      <c r="N7" s="261"/>
      <c r="O7" s="262"/>
      <c r="P7" s="259"/>
      <c r="Q7" s="263"/>
      <c r="R7" s="264"/>
      <c r="S7" s="262"/>
      <c r="T7" s="259"/>
      <c r="U7" s="263"/>
      <c r="V7" s="264"/>
      <c r="W7" s="262"/>
      <c r="X7" s="259"/>
      <c r="Y7" s="260"/>
      <c r="Z7" s="261"/>
      <c r="AA7" s="452"/>
    </row>
    <row r="8" spans="1:27" s="73" customFormat="1" ht="23.25" customHeight="1">
      <c r="A8" s="129" t="s">
        <v>175</v>
      </c>
      <c r="B8" s="126"/>
      <c r="C8" s="74"/>
      <c r="D8" s="267">
        <f>D10+D25+D37</f>
        <v>184853627</v>
      </c>
      <c r="E8" s="268">
        <f>E10+E25+E37</f>
        <v>185172618</v>
      </c>
      <c r="F8" s="242">
        <f>E8-D8</f>
        <v>318991</v>
      </c>
      <c r="G8" s="269">
        <f>_xlfn.IFERROR(F8/D8*100,"")</f>
        <v>0.17256410121722957</v>
      </c>
      <c r="H8" s="267">
        <f>H10+H25+H37</f>
        <v>23908608</v>
      </c>
      <c r="I8" s="268">
        <f>I10+I25+I37</f>
        <v>21478629</v>
      </c>
      <c r="J8" s="242">
        <f>I8-H8</f>
        <v>-2429979</v>
      </c>
      <c r="K8" s="269">
        <f>_xlfn.IFERROR(J8/H8*100,"")</f>
        <v>-10.16361554800681</v>
      </c>
      <c r="L8" s="267">
        <f>L10+L25+L37</f>
        <v>101011268</v>
      </c>
      <c r="M8" s="268">
        <f>M10+M25+M37</f>
        <v>103449122</v>
      </c>
      <c r="N8" s="242">
        <f>M8-L8</f>
        <v>2437854</v>
      </c>
      <c r="O8" s="269">
        <f>_xlfn.IFERROR(N8/L8*100,"")</f>
        <v>2.413447576957454</v>
      </c>
      <c r="P8" s="267">
        <f>P10+P25+P37</f>
        <v>52838213</v>
      </c>
      <c r="Q8" s="268">
        <f>Q10+Q25+Q37</f>
        <v>53364772</v>
      </c>
      <c r="R8" s="242">
        <f>Q8-P8</f>
        <v>526559</v>
      </c>
      <c r="S8" s="269">
        <f>_xlfn.IFERROR(R8/P8*100,"")</f>
        <v>0.9965495994347878</v>
      </c>
      <c r="T8" s="267">
        <f>T10+T25+T37</f>
        <v>7070550</v>
      </c>
      <c r="U8" s="268">
        <f>U10+U25+U37</f>
        <v>6845300</v>
      </c>
      <c r="V8" s="242">
        <f>U8-T8</f>
        <v>-225250</v>
      </c>
      <c r="W8" s="269">
        <f>_xlfn.IFERROR(V8/T8*100,"")</f>
        <v>-3.185749340574637</v>
      </c>
      <c r="X8" s="267">
        <f>X10+X25+X37</f>
        <v>800</v>
      </c>
      <c r="Y8" s="268">
        <f>Y10+Y25+Y37</f>
        <v>22390</v>
      </c>
      <c r="Z8" s="270">
        <f>Y8-X8</f>
        <v>21590</v>
      </c>
      <c r="AA8" s="271">
        <f>_xlfn.IFERROR(Z8/X8*100,"")</f>
        <v>2698.75</v>
      </c>
    </row>
    <row r="9" spans="1:27" s="73" customFormat="1" ht="23.25" customHeight="1">
      <c r="A9" s="130"/>
      <c r="B9" s="127"/>
      <c r="C9" s="75"/>
      <c r="D9" s="272"/>
      <c r="E9" s="273"/>
      <c r="F9" s="147"/>
      <c r="G9" s="274"/>
      <c r="H9" s="272"/>
      <c r="I9" s="273"/>
      <c r="J9" s="147"/>
      <c r="K9" s="275"/>
      <c r="L9" s="272"/>
      <c r="M9" s="273"/>
      <c r="N9" s="276"/>
      <c r="O9" s="277"/>
      <c r="P9" s="272"/>
      <c r="Q9" s="273"/>
      <c r="R9" s="147"/>
      <c r="S9" s="277"/>
      <c r="T9" s="272"/>
      <c r="U9" s="273"/>
      <c r="V9" s="147"/>
      <c r="W9" s="277"/>
      <c r="X9" s="272"/>
      <c r="Y9" s="273"/>
      <c r="Z9" s="278"/>
      <c r="AA9" s="462"/>
    </row>
    <row r="10" spans="1:27" s="73" customFormat="1" ht="23.25" customHeight="1">
      <c r="A10" s="130"/>
      <c r="B10" s="126" t="s">
        <v>176</v>
      </c>
      <c r="C10" s="74" t="s">
        <v>135</v>
      </c>
      <c r="D10" s="267">
        <f aca="true" t="shared" si="0" ref="D10:D21">H10+L10+P10+T10+X10</f>
        <v>155155034</v>
      </c>
      <c r="E10" s="268">
        <f>SUM(E11:E23)</f>
        <v>155605191</v>
      </c>
      <c r="F10" s="242">
        <f>E10-D10</f>
        <v>450157</v>
      </c>
      <c r="G10" s="269">
        <f>_xlfn.IFERROR(F10/D10*100,"")</f>
        <v>0.29013367365186493</v>
      </c>
      <c r="H10" s="267">
        <f>SUM(H11:H23)</f>
        <v>23501852</v>
      </c>
      <c r="I10" s="268">
        <f>SUM(I11:I23)</f>
        <v>20848782</v>
      </c>
      <c r="J10" s="242">
        <f aca="true" t="shared" si="1" ref="J10:J21">I10-H10</f>
        <v>-2653070</v>
      </c>
      <c r="K10" s="269">
        <f aca="true" t="shared" si="2" ref="K10:K23">_xlfn.IFERROR(J10/H10*100,"")</f>
        <v>-11.288769923323489</v>
      </c>
      <c r="L10" s="267">
        <f>SUM(L11:L23)</f>
        <v>94711638</v>
      </c>
      <c r="M10" s="268">
        <f>SUM(M11:M23)</f>
        <v>96735664</v>
      </c>
      <c r="N10" s="242">
        <f aca="true" t="shared" si="3" ref="N10:N21">M10-L10</f>
        <v>2024026</v>
      </c>
      <c r="O10" s="269">
        <f aca="true" t="shared" si="4" ref="O10:O23">_xlfn.IFERROR(N10/L10*100,"")</f>
        <v>2.1370404342494846</v>
      </c>
      <c r="P10" s="267">
        <f>SUM(P11:P23)</f>
        <v>31217674</v>
      </c>
      <c r="Q10" s="268">
        <f>SUM(Q11:Q23)</f>
        <v>32293782</v>
      </c>
      <c r="R10" s="242">
        <f aca="true" t="shared" si="5" ref="R10:R21">Q10-P10</f>
        <v>1076108</v>
      </c>
      <c r="S10" s="269">
        <f aca="true" t="shared" si="6" ref="S10:S23">_xlfn.IFERROR(R10/P10*100,"")</f>
        <v>3.4471114023421476</v>
      </c>
      <c r="T10" s="267">
        <f>SUM(T11:T23)</f>
        <v>5723290</v>
      </c>
      <c r="U10" s="268">
        <f>SUM(U11:U23)</f>
        <v>5722400</v>
      </c>
      <c r="V10" s="242">
        <f aca="true" t="shared" si="7" ref="V10:V21">U10-T10</f>
        <v>-890</v>
      </c>
      <c r="W10" s="269">
        <f aca="true" t="shared" si="8" ref="W10:W23">_xlfn.IFERROR(V10/T10*100,"")</f>
        <v>-0.015550496305446693</v>
      </c>
      <c r="X10" s="267">
        <f>SUM(X11:X23)</f>
        <v>580</v>
      </c>
      <c r="Y10" s="268">
        <f>SUM(Y11:Y23)</f>
        <v>4563</v>
      </c>
      <c r="Z10" s="270">
        <f aca="true" t="shared" si="9" ref="Z10:Z37">Y10-X10</f>
        <v>3983</v>
      </c>
      <c r="AA10" s="271">
        <f aca="true" t="shared" si="10" ref="AA10:AA23">_xlfn.IFERROR(Z10/X10*100,"")</f>
        <v>686.7241379310345</v>
      </c>
    </row>
    <row r="11" spans="1:27" s="73" customFormat="1" ht="23.25" customHeight="1">
      <c r="A11" s="130"/>
      <c r="B11" s="127"/>
      <c r="C11" s="75" t="s">
        <v>177</v>
      </c>
      <c r="D11" s="279">
        <f>H11+L11+P11+T11+X11</f>
        <v>1644298</v>
      </c>
      <c r="E11" s="280">
        <f>I11+M11+Q11+U11+Y11</f>
        <v>1493749</v>
      </c>
      <c r="F11" s="147">
        <f aca="true" t="shared" si="11" ref="F11:F37">E11-D11</f>
        <v>-150549</v>
      </c>
      <c r="G11" s="275">
        <f aca="true" t="shared" si="12" ref="G11:G23">_xlfn.IFERROR(F11/D11*100,"")</f>
        <v>-9.155822119834726</v>
      </c>
      <c r="H11" s="281">
        <f>SUM('表２１－２:表２１－３'!H11)</f>
        <v>3881</v>
      </c>
      <c r="I11" s="418">
        <f>SUM('表２１－２:表２１－３'!I11)</f>
        <v>12374</v>
      </c>
      <c r="J11" s="147">
        <f t="shared" si="1"/>
        <v>8493</v>
      </c>
      <c r="K11" s="275">
        <f t="shared" si="2"/>
        <v>218.83535171347592</v>
      </c>
      <c r="L11" s="283">
        <f>SUM('表２１－２:表２１－３'!L11)</f>
        <v>8373</v>
      </c>
      <c r="M11" s="284">
        <f>SUM('表２１－２:表２１－３'!M11)</f>
        <v>2442</v>
      </c>
      <c r="N11" s="147">
        <f t="shared" si="3"/>
        <v>-5931</v>
      </c>
      <c r="O11" s="275">
        <f t="shared" si="4"/>
        <v>-70.83482622715871</v>
      </c>
      <c r="P11" s="283">
        <f>SUM('表２１－２:表２１－３'!P11)</f>
        <v>1569344</v>
      </c>
      <c r="Q11" s="284">
        <f>SUM('表２１－２:表２１－３'!Q11)</f>
        <v>1478933</v>
      </c>
      <c r="R11" s="147">
        <f t="shared" si="5"/>
        <v>-90411</v>
      </c>
      <c r="S11" s="275">
        <f t="shared" si="6"/>
        <v>-5.76106959340973</v>
      </c>
      <c r="T11" s="283">
        <f>SUM('表２１－２:表２１－３'!T11)</f>
        <v>62700</v>
      </c>
      <c r="U11" s="284">
        <f>SUM('表２１－２:表２１－３'!U11)</f>
        <v>0</v>
      </c>
      <c r="V11" s="147">
        <f t="shared" si="7"/>
        <v>-62700</v>
      </c>
      <c r="W11" s="275">
        <f t="shared" si="8"/>
        <v>-100</v>
      </c>
      <c r="X11" s="283">
        <f>SUM('表２１－２:表２１－３'!X11)</f>
        <v>0</v>
      </c>
      <c r="Y11" s="284">
        <f>SUM('表２１－２:表２１－３'!Y11)</f>
        <v>0</v>
      </c>
      <c r="Z11" s="278">
        <f t="shared" si="9"/>
        <v>0</v>
      </c>
      <c r="AA11" s="243">
        <f t="shared" si="10"/>
      </c>
    </row>
    <row r="12" spans="1:27" s="73" customFormat="1" ht="23.25" customHeight="1">
      <c r="A12" s="130"/>
      <c r="B12" s="127"/>
      <c r="C12" s="75" t="s">
        <v>178</v>
      </c>
      <c r="D12" s="279">
        <f t="shared" si="0"/>
        <v>68862366</v>
      </c>
      <c r="E12" s="280">
        <f aca="true" t="shared" si="13" ref="E12:E21">I12+M12+Q12+U12+Y12</f>
        <v>67762179</v>
      </c>
      <c r="F12" s="147">
        <f t="shared" si="11"/>
        <v>-1100187</v>
      </c>
      <c r="G12" s="275">
        <f t="shared" si="12"/>
        <v>-1.5976607600151294</v>
      </c>
      <c r="H12" s="281">
        <f>SUM('表２１－２:表２１－３'!H12)</f>
        <v>13683061</v>
      </c>
      <c r="I12" s="282">
        <f>SUM('表２１－２:表２１－３'!I12)</f>
        <v>12078932</v>
      </c>
      <c r="J12" s="147">
        <f t="shared" si="1"/>
        <v>-1604129</v>
      </c>
      <c r="K12" s="275">
        <f t="shared" si="2"/>
        <v>-11.723465970077894</v>
      </c>
      <c r="L12" s="283">
        <f>SUM('表２１－２:表２１－３'!L12)</f>
        <v>32905437</v>
      </c>
      <c r="M12" s="284">
        <f>SUM('表２１－２:表２１－３'!M12)</f>
        <v>32831151</v>
      </c>
      <c r="N12" s="147">
        <f t="shared" si="3"/>
        <v>-74286</v>
      </c>
      <c r="O12" s="275">
        <f t="shared" si="4"/>
        <v>-0.22575600500306375</v>
      </c>
      <c r="P12" s="283">
        <f>SUM('表２１－２:表２１－３'!P12)</f>
        <v>18842796</v>
      </c>
      <c r="Q12" s="284">
        <f>SUM('表２１－２:表２１－３'!Q12)</f>
        <v>19434204</v>
      </c>
      <c r="R12" s="147">
        <f t="shared" si="5"/>
        <v>591408</v>
      </c>
      <c r="S12" s="275">
        <f t="shared" si="6"/>
        <v>3.138642481720866</v>
      </c>
      <c r="T12" s="283">
        <f>SUM('表２１－２:表２１－３'!T12)</f>
        <v>3430742</v>
      </c>
      <c r="U12" s="284">
        <f>SUM('表２１－２:表２１－３'!U12)</f>
        <v>3417392</v>
      </c>
      <c r="V12" s="147">
        <f t="shared" si="7"/>
        <v>-13350</v>
      </c>
      <c r="W12" s="275">
        <f t="shared" si="8"/>
        <v>-0.3891286491377084</v>
      </c>
      <c r="X12" s="283">
        <f>SUM('表２１－２:表２１－３'!X12)</f>
        <v>330</v>
      </c>
      <c r="Y12" s="284">
        <f>SUM('表２１－２:表２１－３'!Y12)</f>
        <v>500</v>
      </c>
      <c r="Z12" s="278">
        <f t="shared" si="9"/>
        <v>170</v>
      </c>
      <c r="AA12" s="243">
        <f t="shared" si="10"/>
        <v>51.515151515151516</v>
      </c>
    </row>
    <row r="13" spans="1:27" s="73" customFormat="1" ht="23.25" customHeight="1">
      <c r="A13" s="130"/>
      <c r="B13" s="127"/>
      <c r="C13" s="75" t="s">
        <v>179</v>
      </c>
      <c r="D13" s="279">
        <f t="shared" si="0"/>
        <v>38922117</v>
      </c>
      <c r="E13" s="280">
        <f t="shared" si="13"/>
        <v>37540518</v>
      </c>
      <c r="F13" s="147">
        <f t="shared" si="11"/>
        <v>-1381599</v>
      </c>
      <c r="G13" s="275">
        <f t="shared" si="12"/>
        <v>-3.5496501898907504</v>
      </c>
      <c r="H13" s="281">
        <f>SUM('表２１－２:表２１－３'!H13)</f>
        <v>7908569</v>
      </c>
      <c r="I13" s="282">
        <f>SUM('表２１－２:表２１－３'!I13)</f>
        <v>6454256</v>
      </c>
      <c r="J13" s="147">
        <f t="shared" si="1"/>
        <v>-1454313</v>
      </c>
      <c r="K13" s="275">
        <f t="shared" si="2"/>
        <v>-18.38907898508567</v>
      </c>
      <c r="L13" s="283">
        <f>SUM('表２１－２:表２１－３'!L13)</f>
        <v>19050821</v>
      </c>
      <c r="M13" s="284">
        <f>SUM('表２１－２:表２１－３'!M13)</f>
        <v>19802044</v>
      </c>
      <c r="N13" s="147">
        <f t="shared" si="3"/>
        <v>751223</v>
      </c>
      <c r="O13" s="275">
        <f t="shared" si="4"/>
        <v>3.943257878492481</v>
      </c>
      <c r="P13" s="283">
        <f>SUM('表２１－２:表２１－３'!P13)</f>
        <v>9957929</v>
      </c>
      <c r="Q13" s="284">
        <f>SUM('表２１－２:表２１－３'!Q13)</f>
        <v>9885147</v>
      </c>
      <c r="R13" s="147">
        <f t="shared" si="5"/>
        <v>-72782</v>
      </c>
      <c r="S13" s="275">
        <f t="shared" si="6"/>
        <v>-0.7308949481363043</v>
      </c>
      <c r="T13" s="283">
        <f>SUM('表２１－２:表２１－３'!T13)</f>
        <v>2004548</v>
      </c>
      <c r="U13" s="284">
        <f>SUM('表２１－２:表２１－３'!U13)</f>
        <v>1395008</v>
      </c>
      <c r="V13" s="147">
        <f t="shared" si="7"/>
        <v>-609540</v>
      </c>
      <c r="W13" s="275">
        <f t="shared" si="8"/>
        <v>-30.407852543316498</v>
      </c>
      <c r="X13" s="283">
        <f>SUM('表２１－２:表２１－３'!X13)</f>
        <v>250</v>
      </c>
      <c r="Y13" s="284">
        <f>SUM('表２１－２:表２１－３'!Y13)</f>
        <v>4063</v>
      </c>
      <c r="Z13" s="278">
        <f t="shared" si="9"/>
        <v>3813</v>
      </c>
      <c r="AA13" s="243">
        <f t="shared" si="10"/>
        <v>1525.2</v>
      </c>
    </row>
    <row r="14" spans="1:27" s="73" customFormat="1" ht="23.25" customHeight="1">
      <c r="A14" s="130"/>
      <c r="B14" s="127"/>
      <c r="C14" s="75" t="s">
        <v>245</v>
      </c>
      <c r="D14" s="279">
        <f t="shared" si="0"/>
        <v>9820800</v>
      </c>
      <c r="E14" s="280">
        <f t="shared" si="13"/>
        <v>10008782</v>
      </c>
      <c r="F14" s="147">
        <f t="shared" si="11"/>
        <v>187982</v>
      </c>
      <c r="G14" s="275">
        <f t="shared" si="12"/>
        <v>1.9141210492016942</v>
      </c>
      <c r="H14" s="281">
        <f>SUM('表２１－２:表２１－３'!H14)</f>
        <v>1258862</v>
      </c>
      <c r="I14" s="282">
        <f>SUM('表２１－２:表２１－３'!I14)</f>
        <v>1435388</v>
      </c>
      <c r="J14" s="147">
        <f t="shared" si="1"/>
        <v>176526</v>
      </c>
      <c r="K14" s="275">
        <f t="shared" si="2"/>
        <v>14.022664914819893</v>
      </c>
      <c r="L14" s="283">
        <f>SUM('表２１－２:表２１－３'!L14)</f>
        <v>8561938</v>
      </c>
      <c r="M14" s="284">
        <f>SUM('表２１－２:表２１－３'!M14)</f>
        <v>8524394</v>
      </c>
      <c r="N14" s="147">
        <f t="shared" si="3"/>
        <v>-37544</v>
      </c>
      <c r="O14" s="275">
        <f t="shared" si="4"/>
        <v>-0.43849885388097876</v>
      </c>
      <c r="P14" s="283">
        <f>SUM('表２１－２:表２１－３'!P14)</f>
        <v>0</v>
      </c>
      <c r="Q14" s="284">
        <f>SUM('表２１－２:表２１－３'!Q14)</f>
        <v>0</v>
      </c>
      <c r="R14" s="147">
        <f t="shared" si="5"/>
        <v>0</v>
      </c>
      <c r="S14" s="275">
        <f t="shared" si="6"/>
      </c>
      <c r="T14" s="283">
        <f>SUM('表２１－２:表２１－３'!T14)</f>
        <v>0</v>
      </c>
      <c r="U14" s="284">
        <f>SUM('表２１－２:表２１－３'!U14)</f>
        <v>49000</v>
      </c>
      <c r="V14" s="147">
        <f t="shared" si="7"/>
        <v>49000</v>
      </c>
      <c r="W14" s="275">
        <f t="shared" si="8"/>
      </c>
      <c r="X14" s="283">
        <f>SUM('表２１－２:表２１－３'!X14)</f>
        <v>0</v>
      </c>
      <c r="Y14" s="284">
        <f>SUM('表２１－２:表２１－３'!Y14)</f>
        <v>0</v>
      </c>
      <c r="Z14" s="278">
        <f t="shared" si="9"/>
        <v>0</v>
      </c>
      <c r="AA14" s="243">
        <f t="shared" si="10"/>
      </c>
    </row>
    <row r="15" spans="1:27" s="73" customFormat="1" ht="23.25" customHeight="1">
      <c r="A15" s="130"/>
      <c r="B15" s="127"/>
      <c r="C15" s="75" t="s">
        <v>180</v>
      </c>
      <c r="D15" s="279">
        <f t="shared" si="0"/>
        <v>31278749</v>
      </c>
      <c r="E15" s="280">
        <f t="shared" si="13"/>
        <v>33668766</v>
      </c>
      <c r="F15" s="147">
        <f t="shared" si="11"/>
        <v>2390017</v>
      </c>
      <c r="G15" s="275">
        <f t="shared" si="12"/>
        <v>7.641024901603322</v>
      </c>
      <c r="H15" s="281">
        <f>SUM('表２１－２:表２１－３'!H15)</f>
        <v>399673</v>
      </c>
      <c r="I15" s="282">
        <f>SUM('表２１－２:表２１－３'!I15)</f>
        <v>679473</v>
      </c>
      <c r="J15" s="147">
        <f t="shared" si="1"/>
        <v>279800</v>
      </c>
      <c r="K15" s="275">
        <f t="shared" si="2"/>
        <v>70.00723091126997</v>
      </c>
      <c r="L15" s="283">
        <f>SUM('表２１－２:表２１－３'!L15)</f>
        <v>30793076</v>
      </c>
      <c r="M15" s="284">
        <f>SUM('表２１－２:表２１－３'!M15)</f>
        <v>32128293</v>
      </c>
      <c r="N15" s="147">
        <f t="shared" si="3"/>
        <v>1335217</v>
      </c>
      <c r="O15" s="275">
        <f t="shared" si="4"/>
        <v>4.3360949065302865</v>
      </c>
      <c r="P15" s="283">
        <f>SUM('表２１－２:表２１－３'!P15)</f>
        <v>0</v>
      </c>
      <c r="Q15" s="284">
        <f>SUM('表２１－２:表２１－３'!Q15)</f>
        <v>0</v>
      </c>
      <c r="R15" s="147">
        <f t="shared" si="5"/>
        <v>0</v>
      </c>
      <c r="S15" s="275">
        <f t="shared" si="6"/>
      </c>
      <c r="T15" s="283">
        <f>SUM('表２１－２:表２１－３'!T15)</f>
        <v>86000</v>
      </c>
      <c r="U15" s="284">
        <f>SUM('表２１－２:表２１－３'!U15)</f>
        <v>861000</v>
      </c>
      <c r="V15" s="147">
        <f t="shared" si="7"/>
        <v>775000</v>
      </c>
      <c r="W15" s="275">
        <f t="shared" si="8"/>
        <v>901.1627906976744</v>
      </c>
      <c r="X15" s="283">
        <f>SUM('表２１－２:表２１－３'!X15)</f>
        <v>0</v>
      </c>
      <c r="Y15" s="284">
        <f>SUM('表２１－２:表２１－３'!Y15)</f>
        <v>0</v>
      </c>
      <c r="Z15" s="278">
        <f t="shared" si="9"/>
        <v>0</v>
      </c>
      <c r="AA15" s="243">
        <f t="shared" si="10"/>
      </c>
    </row>
    <row r="16" spans="1:27" s="73" customFormat="1" ht="23.25" customHeight="1">
      <c r="A16" s="130"/>
      <c r="B16" s="127"/>
      <c r="C16" s="75" t="s">
        <v>181</v>
      </c>
      <c r="D16" s="279">
        <f t="shared" si="0"/>
        <v>896539</v>
      </c>
      <c r="E16" s="280">
        <f t="shared" si="13"/>
        <v>942570</v>
      </c>
      <c r="F16" s="147">
        <f t="shared" si="11"/>
        <v>46031</v>
      </c>
      <c r="G16" s="275">
        <f t="shared" si="12"/>
        <v>5.134299790639337</v>
      </c>
      <c r="H16" s="281">
        <f>SUM('表２１－２:表２１－３'!H16)</f>
        <v>5392</v>
      </c>
      <c r="I16" s="282">
        <f>SUM('表２１－２:表２１－３'!I16)</f>
        <v>3983</v>
      </c>
      <c r="J16" s="147">
        <f t="shared" si="1"/>
        <v>-1409</v>
      </c>
      <c r="K16" s="275">
        <f t="shared" si="2"/>
        <v>-26.131305637982194</v>
      </c>
      <c r="L16" s="283">
        <f>SUM('表２１－２:表２１－３'!L16)</f>
        <v>891147</v>
      </c>
      <c r="M16" s="284">
        <f>SUM('表２１－２:表２１－３'!M16)</f>
        <v>938587</v>
      </c>
      <c r="N16" s="147">
        <f t="shared" si="3"/>
        <v>47440</v>
      </c>
      <c r="O16" s="275">
        <f t="shared" si="4"/>
        <v>5.323476373707144</v>
      </c>
      <c r="P16" s="283">
        <f>SUM('表２１－２:表２１－３'!P16)</f>
        <v>0</v>
      </c>
      <c r="Q16" s="284">
        <f>SUM('表２１－２:表２１－３'!Q16)</f>
        <v>0</v>
      </c>
      <c r="R16" s="147">
        <f t="shared" si="5"/>
        <v>0</v>
      </c>
      <c r="S16" s="275">
        <f t="shared" si="6"/>
      </c>
      <c r="T16" s="283">
        <f>SUM('表２１－２:表２１－３'!T16)</f>
        <v>0</v>
      </c>
      <c r="U16" s="284">
        <f>SUM('表２１－２:表２１－３'!U16)</f>
        <v>0</v>
      </c>
      <c r="V16" s="147">
        <f t="shared" si="7"/>
        <v>0</v>
      </c>
      <c r="W16" s="275">
        <f t="shared" si="8"/>
      </c>
      <c r="X16" s="283">
        <f>SUM('表２１－２:表２１－３'!X16)</f>
        <v>0</v>
      </c>
      <c r="Y16" s="284">
        <f>SUM('表２１－２:表２１－３'!Y16)</f>
        <v>0</v>
      </c>
      <c r="Z16" s="278">
        <f t="shared" si="9"/>
        <v>0</v>
      </c>
      <c r="AA16" s="243">
        <f t="shared" si="10"/>
      </c>
    </row>
    <row r="17" spans="1:27" s="73" customFormat="1" ht="23.25" customHeight="1">
      <c r="A17" s="130"/>
      <c r="B17" s="127"/>
      <c r="C17" s="75" t="s">
        <v>182</v>
      </c>
      <c r="D17" s="279">
        <f t="shared" si="0"/>
        <v>177018</v>
      </c>
      <c r="E17" s="280">
        <f t="shared" si="13"/>
        <v>168970</v>
      </c>
      <c r="F17" s="147">
        <f t="shared" si="11"/>
        <v>-8048</v>
      </c>
      <c r="G17" s="275">
        <f t="shared" si="12"/>
        <v>-4.546430306522501</v>
      </c>
      <c r="H17" s="281">
        <f>SUM('表２１－２:表２１－３'!H17)</f>
        <v>2908</v>
      </c>
      <c r="I17" s="282">
        <f>SUM('表２１－２:表２１－３'!I17)</f>
        <v>1272</v>
      </c>
      <c r="J17" s="147">
        <f t="shared" si="1"/>
        <v>-1636</v>
      </c>
      <c r="K17" s="275">
        <f t="shared" si="2"/>
        <v>-56.2585969738652</v>
      </c>
      <c r="L17" s="283">
        <f>SUM('表２１－２:表２１－３'!L17)</f>
        <v>174110</v>
      </c>
      <c r="M17" s="284">
        <f>SUM('表２１－２:表２１－３'!M17)</f>
        <v>167698</v>
      </c>
      <c r="N17" s="147">
        <f t="shared" si="3"/>
        <v>-6412</v>
      </c>
      <c r="O17" s="275">
        <f t="shared" si="4"/>
        <v>-3.6827293090574926</v>
      </c>
      <c r="P17" s="283">
        <f>SUM('表２１－２:表２１－３'!P17)</f>
        <v>0</v>
      </c>
      <c r="Q17" s="284">
        <f>SUM('表２１－２:表２１－３'!Q17)</f>
        <v>0</v>
      </c>
      <c r="R17" s="147">
        <f t="shared" si="5"/>
        <v>0</v>
      </c>
      <c r="S17" s="275">
        <f t="shared" si="6"/>
      </c>
      <c r="T17" s="283">
        <f>SUM('表２１－２:表２１－３'!T17)</f>
        <v>0</v>
      </c>
      <c r="U17" s="284">
        <f>SUM('表２１－２:表２１－３'!U17)</f>
        <v>0</v>
      </c>
      <c r="V17" s="147">
        <f t="shared" si="7"/>
        <v>0</v>
      </c>
      <c r="W17" s="275">
        <f t="shared" si="8"/>
      </c>
      <c r="X17" s="283">
        <f>SUM('表２１－２:表２１－３'!X17)</f>
        <v>0</v>
      </c>
      <c r="Y17" s="284">
        <f>SUM('表２１－２:表２１－３'!Y17)</f>
        <v>0</v>
      </c>
      <c r="Z17" s="278">
        <f t="shared" si="9"/>
        <v>0</v>
      </c>
      <c r="AA17" s="243">
        <f t="shared" si="10"/>
      </c>
    </row>
    <row r="18" spans="1:27" s="73" customFormat="1" ht="23.25" customHeight="1">
      <c r="A18" s="130"/>
      <c r="B18" s="127"/>
      <c r="C18" s="75" t="s">
        <v>38</v>
      </c>
      <c r="D18" s="279">
        <f t="shared" si="0"/>
        <v>2236940</v>
      </c>
      <c r="E18" s="280">
        <f t="shared" si="13"/>
        <v>2307137</v>
      </c>
      <c r="F18" s="147">
        <f t="shared" si="11"/>
        <v>70197</v>
      </c>
      <c r="G18" s="275">
        <f t="shared" si="12"/>
        <v>3.1380814863161284</v>
      </c>
      <c r="H18" s="281">
        <f>SUM('表２１－２:表２１－３'!H18)</f>
        <v>184275</v>
      </c>
      <c r="I18" s="282">
        <f>SUM('表２１－２:表２１－３'!I18)</f>
        <v>168792</v>
      </c>
      <c r="J18" s="147">
        <f t="shared" si="1"/>
        <v>-15483</v>
      </c>
      <c r="K18" s="275">
        <f t="shared" si="2"/>
        <v>-8.402116402116402</v>
      </c>
      <c r="L18" s="283">
        <f>SUM('表２１－２:表２１－３'!L18)</f>
        <v>2052665</v>
      </c>
      <c r="M18" s="284">
        <f>SUM('表２１－２:表２１－３'!M18)</f>
        <v>2138345</v>
      </c>
      <c r="N18" s="147">
        <f t="shared" si="3"/>
        <v>85680</v>
      </c>
      <c r="O18" s="275">
        <f t="shared" si="4"/>
        <v>4.174085883473436</v>
      </c>
      <c r="P18" s="283">
        <f>SUM('表２１－２:表２１－３'!P18)</f>
        <v>0</v>
      </c>
      <c r="Q18" s="284">
        <f>SUM('表２１－２:表２１－３'!Q18)</f>
        <v>0</v>
      </c>
      <c r="R18" s="147">
        <f t="shared" si="5"/>
        <v>0</v>
      </c>
      <c r="S18" s="275">
        <f t="shared" si="6"/>
      </c>
      <c r="T18" s="283">
        <f>SUM('表２１－２:表２１－３'!T18)</f>
        <v>0</v>
      </c>
      <c r="U18" s="284">
        <f>SUM('表２１－２:表２１－３'!U18)</f>
        <v>0</v>
      </c>
      <c r="V18" s="147">
        <f t="shared" si="7"/>
        <v>0</v>
      </c>
      <c r="W18" s="275">
        <f t="shared" si="8"/>
      </c>
      <c r="X18" s="283">
        <f>SUM('表２１－２:表２１－３'!X18)</f>
        <v>0</v>
      </c>
      <c r="Y18" s="284">
        <f>SUM('表２１－２:表２１－３'!Y18)</f>
        <v>0</v>
      </c>
      <c r="Z18" s="278">
        <f t="shared" si="9"/>
        <v>0</v>
      </c>
      <c r="AA18" s="243">
        <f t="shared" si="10"/>
      </c>
    </row>
    <row r="19" spans="1:27" s="73" customFormat="1" ht="23.25" customHeight="1">
      <c r="A19" s="130"/>
      <c r="B19" s="127"/>
      <c r="C19" s="75" t="s">
        <v>183</v>
      </c>
      <c r="D19" s="279">
        <f t="shared" si="0"/>
        <v>246601</v>
      </c>
      <c r="E19" s="280">
        <f t="shared" si="13"/>
        <v>212128</v>
      </c>
      <c r="F19" s="147">
        <f t="shared" si="11"/>
        <v>-34473</v>
      </c>
      <c r="G19" s="275">
        <f t="shared" si="12"/>
        <v>-13.979262046788133</v>
      </c>
      <c r="H19" s="281">
        <f>SUM('表２１－２:表２１－３'!H19)</f>
        <v>25294</v>
      </c>
      <c r="I19" s="282">
        <f>SUM('表２１－２:表２１－３'!I19)</f>
        <v>11327</v>
      </c>
      <c r="J19" s="147">
        <f t="shared" si="1"/>
        <v>-13967</v>
      </c>
      <c r="K19" s="275">
        <f t="shared" si="2"/>
        <v>-55.21862892385546</v>
      </c>
      <c r="L19" s="283">
        <f>SUM('表２１－２:表２１－３'!L19)</f>
        <v>221307</v>
      </c>
      <c r="M19" s="284">
        <f>SUM('表２１－２:表２１－３'!M19)</f>
        <v>200801</v>
      </c>
      <c r="N19" s="147">
        <f t="shared" si="3"/>
        <v>-20506</v>
      </c>
      <c r="O19" s="275">
        <f t="shared" si="4"/>
        <v>-9.265861450383404</v>
      </c>
      <c r="P19" s="283">
        <f>SUM('表２１－２:表２１－３'!P19)</f>
        <v>0</v>
      </c>
      <c r="Q19" s="284">
        <f>SUM('表２１－２:表２１－３'!Q19)</f>
        <v>0</v>
      </c>
      <c r="R19" s="147">
        <f t="shared" si="5"/>
        <v>0</v>
      </c>
      <c r="S19" s="275">
        <f t="shared" si="6"/>
      </c>
      <c r="T19" s="283">
        <f>SUM('表２１－２:表２１－３'!T19)</f>
        <v>0</v>
      </c>
      <c r="U19" s="284">
        <f>SUM('表２１－２:表２１－３'!U19)</f>
        <v>0</v>
      </c>
      <c r="V19" s="147">
        <f t="shared" si="7"/>
        <v>0</v>
      </c>
      <c r="W19" s="275">
        <f t="shared" si="8"/>
      </c>
      <c r="X19" s="283">
        <f>SUM('表２１－２:表２１－３'!X19)</f>
        <v>0</v>
      </c>
      <c r="Y19" s="284">
        <f>SUM('表２１－２:表２１－３'!Y19)</f>
        <v>0</v>
      </c>
      <c r="Z19" s="278">
        <f t="shared" si="9"/>
        <v>0</v>
      </c>
      <c r="AA19" s="243">
        <f t="shared" si="10"/>
      </c>
    </row>
    <row r="20" spans="1:27" s="73" customFormat="1" ht="23.25" customHeight="1">
      <c r="A20" s="130"/>
      <c r="B20" s="127"/>
      <c r="C20" s="75" t="s">
        <v>184</v>
      </c>
      <c r="D20" s="279">
        <f t="shared" si="0"/>
        <v>0</v>
      </c>
      <c r="E20" s="280">
        <f t="shared" si="13"/>
        <v>0</v>
      </c>
      <c r="F20" s="147">
        <f t="shared" si="11"/>
        <v>0</v>
      </c>
      <c r="G20" s="275">
        <f t="shared" si="12"/>
      </c>
      <c r="H20" s="281">
        <f>SUM('表２１－２:表２１－３'!H20)</f>
        <v>0</v>
      </c>
      <c r="I20" s="282">
        <f>SUM('表２１－２:表２１－３'!I20)</f>
        <v>0</v>
      </c>
      <c r="J20" s="147">
        <f t="shared" si="1"/>
        <v>0</v>
      </c>
      <c r="K20" s="275">
        <f t="shared" si="2"/>
      </c>
      <c r="L20" s="283">
        <f>SUM('表２１－２:表２１－３'!L20)</f>
        <v>0</v>
      </c>
      <c r="M20" s="284">
        <f>SUM('表２１－２:表２１－３'!M20)</f>
        <v>0</v>
      </c>
      <c r="N20" s="147">
        <f t="shared" si="3"/>
        <v>0</v>
      </c>
      <c r="O20" s="275">
        <f t="shared" si="4"/>
      </c>
      <c r="P20" s="283">
        <f>SUM('表２１－２:表２１－３'!P20)</f>
        <v>0</v>
      </c>
      <c r="Q20" s="284">
        <f>SUM('表２１－２:表２１－３'!Q20)</f>
        <v>0</v>
      </c>
      <c r="R20" s="147">
        <f t="shared" si="5"/>
        <v>0</v>
      </c>
      <c r="S20" s="275">
        <f t="shared" si="6"/>
      </c>
      <c r="T20" s="283">
        <f>SUM('表２１－２:表２１－３'!T20)</f>
        <v>0</v>
      </c>
      <c r="U20" s="284">
        <f>SUM('表２１－２:表２１－３'!U20)</f>
        <v>0</v>
      </c>
      <c r="V20" s="147">
        <f t="shared" si="7"/>
        <v>0</v>
      </c>
      <c r="W20" s="275">
        <f t="shared" si="8"/>
      </c>
      <c r="X20" s="283">
        <f>SUM('表２１－２:表２１－３'!X20)</f>
        <v>0</v>
      </c>
      <c r="Y20" s="284">
        <f>SUM('表２１－２:表２１－３'!Y20)</f>
        <v>0</v>
      </c>
      <c r="Z20" s="278">
        <f t="shared" si="9"/>
        <v>0</v>
      </c>
      <c r="AA20" s="243">
        <f t="shared" si="10"/>
      </c>
    </row>
    <row r="21" spans="1:27" s="73" customFormat="1" ht="23.25" customHeight="1">
      <c r="A21" s="130"/>
      <c r="B21" s="127"/>
      <c r="C21" s="75" t="s">
        <v>185</v>
      </c>
      <c r="D21" s="279">
        <f t="shared" si="0"/>
        <v>0</v>
      </c>
      <c r="E21" s="280">
        <f t="shared" si="13"/>
        <v>0</v>
      </c>
      <c r="F21" s="147">
        <f t="shared" si="11"/>
        <v>0</v>
      </c>
      <c r="G21" s="275">
        <f t="shared" si="12"/>
      </c>
      <c r="H21" s="281">
        <f>SUM('表２１－２:表２１－３'!H21)</f>
        <v>0</v>
      </c>
      <c r="I21" s="282">
        <f>SUM('表２１－２:表２１－３'!I21)</f>
        <v>0</v>
      </c>
      <c r="J21" s="147">
        <f t="shared" si="1"/>
        <v>0</v>
      </c>
      <c r="K21" s="275">
        <f t="shared" si="2"/>
      </c>
      <c r="L21" s="283">
        <f>SUM('表２１－２:表２１－３'!L21)</f>
        <v>0</v>
      </c>
      <c r="M21" s="284">
        <f>SUM('表２１－２:表２１－３'!M21)</f>
        <v>0</v>
      </c>
      <c r="N21" s="147">
        <f t="shared" si="3"/>
        <v>0</v>
      </c>
      <c r="O21" s="275">
        <f t="shared" si="4"/>
      </c>
      <c r="P21" s="283">
        <f>SUM('表２１－２:表２１－３'!P21)</f>
        <v>0</v>
      </c>
      <c r="Q21" s="284">
        <f>SUM('表２１－２:表２１－３'!Q21)</f>
        <v>0</v>
      </c>
      <c r="R21" s="147">
        <f t="shared" si="5"/>
        <v>0</v>
      </c>
      <c r="S21" s="275">
        <f t="shared" si="6"/>
      </c>
      <c r="T21" s="283">
        <f>SUM('表２１－２:表２１－３'!T21)</f>
        <v>0</v>
      </c>
      <c r="U21" s="284">
        <f>SUM('表２１－２:表２１－３'!U21)</f>
        <v>0</v>
      </c>
      <c r="V21" s="147">
        <f t="shared" si="7"/>
        <v>0</v>
      </c>
      <c r="W21" s="275">
        <f t="shared" si="8"/>
      </c>
      <c r="X21" s="283">
        <f>SUM('表２１－２:表２１－３'!X21)</f>
        <v>0</v>
      </c>
      <c r="Y21" s="284">
        <f>SUM('表２１－２:表２１－３'!Y21)</f>
        <v>0</v>
      </c>
      <c r="Z21" s="278">
        <f t="shared" si="9"/>
        <v>0</v>
      </c>
      <c r="AA21" s="243">
        <f t="shared" si="10"/>
      </c>
    </row>
    <row r="22" spans="1:27" s="73" customFormat="1" ht="23.25" customHeight="1">
      <c r="A22" s="130"/>
      <c r="B22" s="127"/>
      <c r="C22" s="75" t="s">
        <v>320</v>
      </c>
      <c r="D22" s="279">
        <f>H22+L22+P22+T22+X22</f>
        <v>1069606</v>
      </c>
      <c r="E22" s="280">
        <f>I22+M22+Q22+U22+Y22</f>
        <v>1500392</v>
      </c>
      <c r="F22" s="147">
        <f>E22-D22</f>
        <v>430786</v>
      </c>
      <c r="G22" s="275">
        <f t="shared" si="12"/>
        <v>40.275204140590084</v>
      </c>
      <c r="H22" s="281">
        <f>SUM('表２１－２:表２１－３'!H22)</f>
        <v>29937</v>
      </c>
      <c r="I22" s="282">
        <f>SUM('表２１－２:表２１－３'!I22)</f>
        <v>2985</v>
      </c>
      <c r="J22" s="147">
        <f>I22-H22</f>
        <v>-26952</v>
      </c>
      <c r="K22" s="275">
        <f t="shared" si="2"/>
        <v>-90.02906102815913</v>
      </c>
      <c r="L22" s="283">
        <f>SUM('表２１－２:表２１－３'!L22)</f>
        <v>52764</v>
      </c>
      <c r="M22" s="284">
        <f>SUM('表２１－２:表２１－３'!M22)</f>
        <v>1909</v>
      </c>
      <c r="N22" s="147">
        <f>M22-L22</f>
        <v>-50855</v>
      </c>
      <c r="O22" s="275">
        <f t="shared" si="4"/>
        <v>-96.38200288075203</v>
      </c>
      <c r="P22" s="283">
        <f>SUM('表２１－２:表２１－３'!P22)</f>
        <v>847605</v>
      </c>
      <c r="Q22" s="284">
        <f>SUM('表２１－２:表２１－３'!Q22)</f>
        <v>1495498</v>
      </c>
      <c r="R22" s="147">
        <f>Q22-P22</f>
        <v>647893</v>
      </c>
      <c r="S22" s="275">
        <f t="shared" si="6"/>
        <v>76.43808141764147</v>
      </c>
      <c r="T22" s="283">
        <f>SUM('表２１－２:表２１－３'!T22)</f>
        <v>139300</v>
      </c>
      <c r="U22" s="284">
        <f>SUM('表２１－２:表２１－３'!U22)</f>
        <v>0</v>
      </c>
      <c r="V22" s="147">
        <f>U22-T22</f>
        <v>-139300</v>
      </c>
      <c r="W22" s="275">
        <f t="shared" si="8"/>
        <v>-100</v>
      </c>
      <c r="X22" s="283">
        <f>SUM('表２１－２:表２１－３'!X22)</f>
        <v>0</v>
      </c>
      <c r="Y22" s="284">
        <f>SUM('表２１－２:表２１－３'!Y22)</f>
        <v>0</v>
      </c>
      <c r="Z22" s="278">
        <f>Y22-X22</f>
        <v>0</v>
      </c>
      <c r="AA22" s="243">
        <f t="shared" si="10"/>
      </c>
    </row>
    <row r="23" spans="1:27" s="73" customFormat="1" ht="23.25" customHeight="1">
      <c r="A23" s="130"/>
      <c r="B23" s="127"/>
      <c r="C23" s="75" t="s">
        <v>319</v>
      </c>
      <c r="D23" s="279">
        <f>H23+L23+P23+T23+X23</f>
        <v>0</v>
      </c>
      <c r="E23" s="280">
        <f>I23+M23+Q23+U23+Y23</f>
        <v>0</v>
      </c>
      <c r="F23" s="147">
        <f>E23-D23</f>
        <v>0</v>
      </c>
      <c r="G23" s="275">
        <f t="shared" si="12"/>
      </c>
      <c r="H23" s="281">
        <f>SUM('表２１－２:表２１－３'!H23)</f>
        <v>0</v>
      </c>
      <c r="I23" s="282">
        <f>SUM('表２１－２:表２１－３'!I23)</f>
        <v>0</v>
      </c>
      <c r="J23" s="147">
        <f>I23-H23</f>
        <v>0</v>
      </c>
      <c r="K23" s="275">
        <f t="shared" si="2"/>
      </c>
      <c r="L23" s="283">
        <f>SUM('表２１－２:表２１－３'!L23)</f>
        <v>0</v>
      </c>
      <c r="M23" s="284">
        <f>SUM('表２１－２:表２１－３'!M23)</f>
        <v>0</v>
      </c>
      <c r="N23" s="147">
        <f>M23-L23</f>
        <v>0</v>
      </c>
      <c r="O23" s="275">
        <f t="shared" si="4"/>
      </c>
      <c r="P23" s="283">
        <f>SUM('表２１－２:表２１－３'!P23)</f>
        <v>0</v>
      </c>
      <c r="Q23" s="284">
        <f>SUM('表２１－２:表２１－３'!Q23)</f>
        <v>0</v>
      </c>
      <c r="R23" s="147">
        <f>Q23-P23</f>
        <v>0</v>
      </c>
      <c r="S23" s="275">
        <f t="shared" si="6"/>
      </c>
      <c r="T23" s="283">
        <f>SUM('表２１－２:表２１－３'!T23)</f>
        <v>0</v>
      </c>
      <c r="U23" s="284">
        <f>SUM('表２１－２:表２１－３'!U23)</f>
        <v>0</v>
      </c>
      <c r="V23" s="147">
        <f>U23-T23</f>
        <v>0</v>
      </c>
      <c r="W23" s="275">
        <f t="shared" si="8"/>
      </c>
      <c r="X23" s="283">
        <f>SUM('表２１－２:表２１－３'!X23)</f>
        <v>0</v>
      </c>
      <c r="Y23" s="284">
        <f>SUM('表２１－２:表２１－３'!Y23)</f>
        <v>0</v>
      </c>
      <c r="Z23" s="278">
        <f>Y23-X23</f>
        <v>0</v>
      </c>
      <c r="AA23" s="243">
        <f t="shared" si="10"/>
      </c>
    </row>
    <row r="24" spans="1:27" s="73" customFormat="1" ht="23.25" customHeight="1">
      <c r="A24" s="130"/>
      <c r="B24" s="127"/>
      <c r="C24" s="75"/>
      <c r="D24" s="272"/>
      <c r="E24" s="273"/>
      <c r="F24" s="285"/>
      <c r="G24" s="274" t="s">
        <v>186</v>
      </c>
      <c r="H24" s="272"/>
      <c r="I24" s="273"/>
      <c r="J24" s="147"/>
      <c r="K24" s="275"/>
      <c r="L24" s="272"/>
      <c r="M24" s="273"/>
      <c r="N24" s="244"/>
      <c r="O24" s="275"/>
      <c r="P24" s="272"/>
      <c r="Q24" s="273"/>
      <c r="R24" s="147"/>
      <c r="S24" s="275"/>
      <c r="T24" s="272"/>
      <c r="U24" s="273"/>
      <c r="V24" s="147"/>
      <c r="W24" s="275"/>
      <c r="X24" s="272"/>
      <c r="Y24" s="273"/>
      <c r="Z24" s="278"/>
      <c r="AA24" s="243"/>
    </row>
    <row r="25" spans="1:27" s="73" customFormat="1" ht="23.25" customHeight="1">
      <c r="A25" s="130"/>
      <c r="B25" s="126" t="s">
        <v>272</v>
      </c>
      <c r="C25" s="74" t="s">
        <v>135</v>
      </c>
      <c r="D25" s="267">
        <f>SUM(D26:D35)</f>
        <v>17731350</v>
      </c>
      <c r="E25" s="268">
        <f>SUM(E26:E35)</f>
        <v>17407800</v>
      </c>
      <c r="F25" s="242">
        <f t="shared" si="11"/>
        <v>-323550</v>
      </c>
      <c r="G25" s="269">
        <f>_xlfn.IFERROR(F25/D25*100,"")</f>
        <v>-1.8247341572976676</v>
      </c>
      <c r="H25" s="267">
        <f>SUM(H26:H35)</f>
        <v>303415</v>
      </c>
      <c r="I25" s="268">
        <f>SUM(I26:I35)</f>
        <v>514657</v>
      </c>
      <c r="J25" s="242">
        <f aca="true" t="shared" si="14" ref="J25:J35">I25-H25</f>
        <v>211242</v>
      </c>
      <c r="K25" s="269">
        <f>_xlfn.IFERROR(J25/H25*100,"")</f>
        <v>69.62147553680602</v>
      </c>
      <c r="L25" s="267">
        <f>SUM(L26:L35)</f>
        <v>2069641</v>
      </c>
      <c r="M25" s="268">
        <f>SUM(M26:M35)</f>
        <v>1907254</v>
      </c>
      <c r="N25" s="242">
        <f aca="true" t="shared" si="15" ref="N25:N35">M25-L25</f>
        <v>-162387</v>
      </c>
      <c r="O25" s="269">
        <f>_xlfn.IFERROR(N25/L25*100,"")</f>
        <v>-7.846143364960397</v>
      </c>
      <c r="P25" s="267">
        <f>SUM(P26:P35)</f>
        <v>14114626</v>
      </c>
      <c r="Q25" s="268">
        <f>SUM(Q26:Q35)</f>
        <v>13980902</v>
      </c>
      <c r="R25" s="242">
        <f aca="true" t="shared" si="16" ref="R25:R35">Q25-P25</f>
        <v>-133724</v>
      </c>
      <c r="S25" s="269">
        <f>_xlfn.IFERROR(R25/P25*100,"")</f>
        <v>-0.9474144054543138</v>
      </c>
      <c r="T25" s="267">
        <f>SUM(T26:T35)</f>
        <v>1219360</v>
      </c>
      <c r="U25" s="268">
        <f>SUM(U26:U35)</f>
        <v>991100</v>
      </c>
      <c r="V25" s="242">
        <f aca="true" t="shared" si="17" ref="V25:V35">U25-T25</f>
        <v>-228260</v>
      </c>
      <c r="W25" s="269">
        <f>_xlfn.IFERROR(V25/T25*100,"")</f>
        <v>-18.719656213095394</v>
      </c>
      <c r="X25" s="267">
        <f>SUM(X26:X35)</f>
        <v>120</v>
      </c>
      <c r="Y25" s="268">
        <f>SUM(Y26:Y35)</f>
        <v>1482</v>
      </c>
      <c r="Z25" s="270">
        <f t="shared" si="9"/>
        <v>1362</v>
      </c>
      <c r="AA25" s="271">
        <f>_xlfn.IFERROR(Z25/X25*100,"")</f>
        <v>1135</v>
      </c>
    </row>
    <row r="26" spans="1:27" s="73" customFormat="1" ht="23.25" customHeight="1">
      <c r="A26" s="130"/>
      <c r="B26" s="127"/>
      <c r="C26" s="75" t="s">
        <v>187</v>
      </c>
      <c r="D26" s="279">
        <f aca="true" t="shared" si="18" ref="D26:D35">H26+L26+P26+T26+X26+D63</f>
        <v>5204430</v>
      </c>
      <c r="E26" s="280">
        <f aca="true" t="shared" si="19" ref="E26:E35">I26+M26+Q26+U26+Y26+E63</f>
        <v>4642729</v>
      </c>
      <c r="F26" s="147">
        <f t="shared" si="11"/>
        <v>-561701</v>
      </c>
      <c r="G26" s="274">
        <f aca="true" t="shared" si="20" ref="G26:G37">_xlfn.IFERROR(F26/D26*100,"")</f>
        <v>-10.792747716848915</v>
      </c>
      <c r="H26" s="283">
        <f>SUM('表２１－２:表２１－３'!H26)</f>
        <v>3380</v>
      </c>
      <c r="I26" s="284">
        <f>SUM('表２１－２:表２１－３'!I26)</f>
        <v>53427</v>
      </c>
      <c r="J26" s="147">
        <f t="shared" si="14"/>
        <v>50047</v>
      </c>
      <c r="K26" s="275">
        <f aca="true" t="shared" si="21" ref="K26:K37">_xlfn.IFERROR(J26/H26*100,"")</f>
        <v>1480.680473372781</v>
      </c>
      <c r="L26" s="283">
        <f>SUM('表２１－２:表２１－３'!L26)</f>
        <v>6319</v>
      </c>
      <c r="M26" s="284">
        <f>SUM('表２１－２:表２１－３'!M26)</f>
        <v>2339</v>
      </c>
      <c r="N26" s="147">
        <f t="shared" si="15"/>
        <v>-3980</v>
      </c>
      <c r="O26" s="275">
        <f aca="true" t="shared" si="22" ref="O26:O37">_xlfn.IFERROR(N26/L26*100,"")</f>
        <v>-62.984649469852826</v>
      </c>
      <c r="P26" s="283">
        <f>SUM('表２１－２:表２１－３'!P26)</f>
        <v>4648874</v>
      </c>
      <c r="Q26" s="284">
        <f>SUM('表２１－２:表２１－３'!Q26)</f>
        <v>4253728</v>
      </c>
      <c r="R26" s="147">
        <f t="shared" si="16"/>
        <v>-395146</v>
      </c>
      <c r="S26" s="275">
        <f aca="true" t="shared" si="23" ref="S26:S37">_xlfn.IFERROR(R26/P26*100,"")</f>
        <v>-8.499821677249157</v>
      </c>
      <c r="T26" s="283">
        <f>SUM('表２１－２:表２１－３'!T26)</f>
        <v>530100</v>
      </c>
      <c r="U26" s="284">
        <f>SUM('表２１－２:表２１－３'!U26)</f>
        <v>321100</v>
      </c>
      <c r="V26" s="147">
        <f t="shared" si="17"/>
        <v>-209000</v>
      </c>
      <c r="W26" s="275">
        <f aca="true" t="shared" si="24" ref="W26:W37">_xlfn.IFERROR(V26/T26*100,"")</f>
        <v>-39.42652329749104</v>
      </c>
      <c r="X26" s="283">
        <f>SUM('表２１－２:表２１－３'!X26)</f>
        <v>0</v>
      </c>
      <c r="Y26" s="284">
        <f>SUM('表２１－２:表２１－３'!Y26)</f>
        <v>0</v>
      </c>
      <c r="Z26" s="278">
        <f t="shared" si="9"/>
        <v>0</v>
      </c>
      <c r="AA26" s="243">
        <f aca="true" t="shared" si="25" ref="AA26:AA37">_xlfn.IFERROR(Z26/X26*100,"")</f>
      </c>
    </row>
    <row r="27" spans="1:27" s="73" customFormat="1" ht="23.25" customHeight="1">
      <c r="A27" s="130"/>
      <c r="B27" s="127"/>
      <c r="C27" s="75" t="s">
        <v>188</v>
      </c>
      <c r="D27" s="279">
        <f t="shared" si="18"/>
        <v>2392066</v>
      </c>
      <c r="E27" s="280">
        <f t="shared" si="19"/>
        <v>2376278</v>
      </c>
      <c r="F27" s="147">
        <f t="shared" si="11"/>
        <v>-15788</v>
      </c>
      <c r="G27" s="274">
        <f t="shared" si="20"/>
        <v>-0.6600152336933847</v>
      </c>
      <c r="H27" s="283">
        <f>SUM('表２１－２:表２１－３'!H27)</f>
        <v>24165</v>
      </c>
      <c r="I27" s="284">
        <f>SUM('表２１－２:表２１－３'!I27)</f>
        <v>2150</v>
      </c>
      <c r="J27" s="147">
        <f t="shared" si="14"/>
        <v>-22015</v>
      </c>
      <c r="K27" s="275">
        <f t="shared" si="21"/>
        <v>-91.10283467825367</v>
      </c>
      <c r="L27" s="283">
        <f>SUM('表２１－２:表２１－３'!L27)</f>
        <v>187917</v>
      </c>
      <c r="M27" s="284">
        <f>SUM('表２１－２:表２１－３'!M27)</f>
        <v>237396</v>
      </c>
      <c r="N27" s="147">
        <f t="shared" si="15"/>
        <v>49479</v>
      </c>
      <c r="O27" s="275">
        <f>_xlfn.IFERROR(N27/L27*100,"")</f>
        <v>26.330241542808793</v>
      </c>
      <c r="P27" s="283">
        <f>SUM('表２１－２:表２１－３'!P27)</f>
        <v>2167264</v>
      </c>
      <c r="Q27" s="284">
        <f>SUM('表２１－２:表２１－３'!Q27)</f>
        <v>2134312</v>
      </c>
      <c r="R27" s="147">
        <f t="shared" si="16"/>
        <v>-32952</v>
      </c>
      <c r="S27" s="275">
        <f>_xlfn.IFERROR(R27/P27*100,"")</f>
        <v>-1.5204423641974396</v>
      </c>
      <c r="T27" s="283">
        <f>SUM('表２１－２:表２１－３'!T27)</f>
        <v>12600</v>
      </c>
      <c r="U27" s="284">
        <f>SUM('表２１－２:表２１－３'!U27)</f>
        <v>1300</v>
      </c>
      <c r="V27" s="147">
        <f t="shared" si="17"/>
        <v>-11300</v>
      </c>
      <c r="W27" s="275">
        <f>_xlfn.IFERROR(V27/T27*100,"")</f>
        <v>-89.68253968253968</v>
      </c>
      <c r="X27" s="283">
        <f>SUM('表２１－２:表２１－３'!X27)</f>
        <v>120</v>
      </c>
      <c r="Y27" s="284">
        <f>SUM('表２１－２:表２１－３'!Y27)</f>
        <v>1120</v>
      </c>
      <c r="Z27" s="278">
        <f t="shared" si="9"/>
        <v>1000</v>
      </c>
      <c r="AA27" s="243">
        <f>_xlfn.IFERROR(Z27/X27*100,"")</f>
        <v>833.3333333333334</v>
      </c>
    </row>
    <row r="28" spans="1:27" s="73" customFormat="1" ht="23.25" customHeight="1">
      <c r="A28" s="130"/>
      <c r="B28" s="127"/>
      <c r="C28" s="75" t="s">
        <v>189</v>
      </c>
      <c r="D28" s="279">
        <f t="shared" si="18"/>
        <v>2570496</v>
      </c>
      <c r="E28" s="280">
        <f t="shared" si="19"/>
        <v>2463595</v>
      </c>
      <c r="F28" s="147">
        <f t="shared" si="11"/>
        <v>-106901</v>
      </c>
      <c r="G28" s="274">
        <f t="shared" si="20"/>
        <v>-4.15876935813166</v>
      </c>
      <c r="H28" s="283">
        <f>SUM('表２１－２:表２１－３'!H28)</f>
        <v>45111</v>
      </c>
      <c r="I28" s="284">
        <f>SUM('表２１－２:表２１－３'!I28)</f>
        <v>43536</v>
      </c>
      <c r="J28" s="147">
        <f t="shared" si="14"/>
        <v>-1575</v>
      </c>
      <c r="K28" s="275">
        <f t="shared" si="21"/>
        <v>-3.4913879098224383</v>
      </c>
      <c r="L28" s="283">
        <f>SUM('表２１－２:表２１－３'!L28)</f>
        <v>1510058</v>
      </c>
      <c r="M28" s="284">
        <f>SUM('表２１－２:表２１－３'!M28)</f>
        <v>1253262</v>
      </c>
      <c r="N28" s="147">
        <f t="shared" si="15"/>
        <v>-256796</v>
      </c>
      <c r="O28" s="275">
        <f t="shared" si="22"/>
        <v>-17.005704416651547</v>
      </c>
      <c r="P28" s="283">
        <f>SUM('表２１－２:表２１－３'!P28)</f>
        <v>1014144</v>
      </c>
      <c r="Q28" s="284">
        <f>SUM('表２１－２:表２１－３'!Q28)</f>
        <v>1084847</v>
      </c>
      <c r="R28" s="147">
        <f t="shared" si="16"/>
        <v>70703</v>
      </c>
      <c r="S28" s="275">
        <f t="shared" si="23"/>
        <v>6.971692382935757</v>
      </c>
      <c r="T28" s="283">
        <f>SUM('表２１－２:表２１－３'!T28)</f>
        <v>0</v>
      </c>
      <c r="U28" s="284">
        <f>SUM('表２１－２:表２１－３'!U28)</f>
        <v>81800</v>
      </c>
      <c r="V28" s="147">
        <f t="shared" si="17"/>
        <v>81800</v>
      </c>
      <c r="W28" s="275">
        <f t="shared" si="24"/>
      </c>
      <c r="X28" s="283">
        <f>SUM('表２１－２:表２１－３'!X28)</f>
        <v>0</v>
      </c>
      <c r="Y28" s="284">
        <f>SUM('表２１－２:表２１－３'!Y28)</f>
        <v>0</v>
      </c>
      <c r="Z28" s="278">
        <f t="shared" si="9"/>
        <v>0</v>
      </c>
      <c r="AA28" s="243">
        <f t="shared" si="25"/>
      </c>
    </row>
    <row r="29" spans="1:27" s="73" customFormat="1" ht="23.25" customHeight="1">
      <c r="A29" s="130"/>
      <c r="B29" s="127"/>
      <c r="C29" s="75" t="s">
        <v>190</v>
      </c>
      <c r="D29" s="279">
        <f t="shared" si="18"/>
        <v>3385138</v>
      </c>
      <c r="E29" s="280">
        <f t="shared" si="19"/>
        <v>3244754</v>
      </c>
      <c r="F29" s="147">
        <f t="shared" si="11"/>
        <v>-140384</v>
      </c>
      <c r="G29" s="274">
        <f t="shared" si="20"/>
        <v>-4.147068745794115</v>
      </c>
      <c r="H29" s="283">
        <f>SUM('表２１－２:表２１－３'!H29)</f>
        <v>11910</v>
      </c>
      <c r="I29" s="284">
        <f>SUM('表２１－２:表２１－３'!I29)</f>
        <v>300</v>
      </c>
      <c r="J29" s="147">
        <f t="shared" si="14"/>
        <v>-11610</v>
      </c>
      <c r="K29" s="275">
        <f t="shared" si="21"/>
        <v>-97.48110831234257</v>
      </c>
      <c r="L29" s="283">
        <f>SUM('表２１－２:表２１－３'!L29)</f>
        <v>0</v>
      </c>
      <c r="M29" s="284">
        <f>SUM('表２１－２:表２１－３'!M29)</f>
        <v>0</v>
      </c>
      <c r="N29" s="147">
        <f t="shared" si="15"/>
        <v>0</v>
      </c>
      <c r="O29" s="275">
        <f t="shared" si="22"/>
      </c>
      <c r="P29" s="283">
        <f>SUM('表２１－２:表２１－３'!P29)</f>
        <v>2922368</v>
      </c>
      <c r="Q29" s="284">
        <f>SUM('表２１－２:表２１－３'!Q29)</f>
        <v>2887933</v>
      </c>
      <c r="R29" s="147">
        <f t="shared" si="16"/>
        <v>-34435</v>
      </c>
      <c r="S29" s="275">
        <f t="shared" si="23"/>
        <v>-1.1783252485655469</v>
      </c>
      <c r="T29" s="283">
        <f>SUM('表２１－２:表２１－３'!T29)</f>
        <v>450860</v>
      </c>
      <c r="U29" s="284">
        <f>SUM('表２１－２:表２１－３'!U29)</f>
        <v>356500</v>
      </c>
      <c r="V29" s="147">
        <f t="shared" si="17"/>
        <v>-94360</v>
      </c>
      <c r="W29" s="275">
        <f t="shared" si="24"/>
        <v>-20.92889145189194</v>
      </c>
      <c r="X29" s="283">
        <f>SUM('表２１－２:表２１－３'!X29)</f>
        <v>0</v>
      </c>
      <c r="Y29" s="284">
        <f>SUM('表２１－２:表２１－３'!Y29)</f>
        <v>21</v>
      </c>
      <c r="Z29" s="278">
        <f t="shared" si="9"/>
        <v>21</v>
      </c>
      <c r="AA29" s="243">
        <f t="shared" si="25"/>
      </c>
    </row>
    <row r="30" spans="1:27" s="73" customFormat="1" ht="23.25" customHeight="1">
      <c r="A30" s="130"/>
      <c r="B30" s="127"/>
      <c r="C30" s="75" t="s">
        <v>191</v>
      </c>
      <c r="D30" s="279">
        <f t="shared" si="18"/>
        <v>290769</v>
      </c>
      <c r="E30" s="280">
        <f t="shared" si="19"/>
        <v>291814</v>
      </c>
      <c r="F30" s="147">
        <f t="shared" si="11"/>
        <v>1045</v>
      </c>
      <c r="G30" s="274">
        <f>_xlfn.IFERROR(F30/D30*100,"")</f>
        <v>0.35939181962313727</v>
      </c>
      <c r="H30" s="283">
        <f>SUM('表２１－２:表２１－３'!H30)</f>
        <v>215</v>
      </c>
      <c r="I30" s="284">
        <f>SUM('表２１－２:表２１－３'!I30)</f>
        <v>73</v>
      </c>
      <c r="J30" s="147">
        <f t="shared" si="14"/>
        <v>-142</v>
      </c>
      <c r="K30" s="275">
        <f t="shared" si="21"/>
        <v>-66.04651162790698</v>
      </c>
      <c r="L30" s="283">
        <f>SUM('表２１－２:表２１－３'!L30)</f>
        <v>37791</v>
      </c>
      <c r="M30" s="284">
        <f>SUM('表２１－２:表２１－３'!M30)</f>
        <v>36624</v>
      </c>
      <c r="N30" s="147">
        <f t="shared" si="15"/>
        <v>-1167</v>
      </c>
      <c r="O30" s="275">
        <f t="shared" si="22"/>
        <v>-3.088036834166865</v>
      </c>
      <c r="P30" s="283">
        <f>SUM('表２１－２:表２１－３'!P30)</f>
        <v>252763</v>
      </c>
      <c r="Q30" s="284">
        <f>SUM('表２１－２:表２１－３'!Q30)</f>
        <v>248317</v>
      </c>
      <c r="R30" s="147">
        <f t="shared" si="16"/>
        <v>-4446</v>
      </c>
      <c r="S30" s="275">
        <f t="shared" si="23"/>
        <v>-1.7589599743633364</v>
      </c>
      <c r="T30" s="283">
        <f>SUM('表２１－２:表２１－３'!T30)</f>
        <v>0</v>
      </c>
      <c r="U30" s="284">
        <f>SUM('表２１－２:表２１－３'!U30)</f>
        <v>6800</v>
      </c>
      <c r="V30" s="147">
        <f t="shared" si="17"/>
        <v>6800</v>
      </c>
      <c r="W30" s="275">
        <f t="shared" si="24"/>
      </c>
      <c r="X30" s="283">
        <f>SUM('表２１－２:表２１－３'!X30)</f>
        <v>0</v>
      </c>
      <c r="Y30" s="284">
        <f>SUM('表２１－２:表２１－３'!Y30)</f>
        <v>0</v>
      </c>
      <c r="Z30" s="278">
        <f t="shared" si="9"/>
        <v>0</v>
      </c>
      <c r="AA30" s="243">
        <f t="shared" si="25"/>
      </c>
    </row>
    <row r="31" spans="1:27" s="73" customFormat="1" ht="23.25" customHeight="1">
      <c r="A31" s="130"/>
      <c r="B31" s="127"/>
      <c r="C31" s="75" t="s">
        <v>192</v>
      </c>
      <c r="D31" s="279">
        <f t="shared" si="18"/>
        <v>0</v>
      </c>
      <c r="E31" s="280">
        <f t="shared" si="19"/>
        <v>0</v>
      </c>
      <c r="F31" s="147">
        <f t="shared" si="11"/>
        <v>0</v>
      </c>
      <c r="G31" s="274">
        <f t="shared" si="20"/>
      </c>
      <c r="H31" s="283">
        <f>SUM('表２１－２:表２１－３'!H31)</f>
        <v>0</v>
      </c>
      <c r="I31" s="284">
        <f>SUM('表２１－２:表２１－３'!I31)</f>
        <v>0</v>
      </c>
      <c r="J31" s="147">
        <f t="shared" si="14"/>
        <v>0</v>
      </c>
      <c r="K31" s="275">
        <f t="shared" si="21"/>
      </c>
      <c r="L31" s="283">
        <f>SUM('表２１－２:表２１－３'!L31)</f>
        <v>0</v>
      </c>
      <c r="M31" s="284">
        <f>SUM('表２１－２:表２１－３'!M31)</f>
        <v>0</v>
      </c>
      <c r="N31" s="147">
        <f t="shared" si="15"/>
        <v>0</v>
      </c>
      <c r="O31" s="275">
        <f t="shared" si="22"/>
      </c>
      <c r="P31" s="283">
        <f>SUM('表２１－２:表２１－３'!P31)</f>
        <v>0</v>
      </c>
      <c r="Q31" s="284">
        <f>SUM('表２１－２:表２１－３'!Q31)</f>
        <v>0</v>
      </c>
      <c r="R31" s="147">
        <f t="shared" si="16"/>
        <v>0</v>
      </c>
      <c r="S31" s="275">
        <f t="shared" si="23"/>
      </c>
      <c r="T31" s="283">
        <f>SUM('表２１－２:表２１－３'!T31)</f>
        <v>0</v>
      </c>
      <c r="U31" s="284">
        <f>SUM('表２１－２:表２１－３'!U31)</f>
        <v>0</v>
      </c>
      <c r="V31" s="147">
        <f t="shared" si="17"/>
        <v>0</v>
      </c>
      <c r="W31" s="275">
        <f t="shared" si="24"/>
      </c>
      <c r="X31" s="283">
        <f>SUM('表２１－２:表２１－３'!X31)</f>
        <v>0</v>
      </c>
      <c r="Y31" s="284">
        <f>SUM('表２１－２:表２１－３'!Y31)</f>
        <v>0</v>
      </c>
      <c r="Z31" s="278">
        <f t="shared" si="9"/>
        <v>0</v>
      </c>
      <c r="AA31" s="243">
        <f t="shared" si="25"/>
      </c>
    </row>
    <row r="32" spans="1:27" s="73" customFormat="1" ht="23.25" customHeight="1">
      <c r="A32" s="130"/>
      <c r="B32" s="127"/>
      <c r="C32" s="75" t="s">
        <v>193</v>
      </c>
      <c r="D32" s="279">
        <f t="shared" si="18"/>
        <v>1024810</v>
      </c>
      <c r="E32" s="280">
        <f t="shared" si="19"/>
        <v>877857</v>
      </c>
      <c r="F32" s="147">
        <f t="shared" si="11"/>
        <v>-146953</v>
      </c>
      <c r="G32" s="274">
        <f t="shared" si="20"/>
        <v>-14.339536109132425</v>
      </c>
      <c r="H32" s="283">
        <f>SUM('表２１－２:表２１－３'!H32)</f>
        <v>0</v>
      </c>
      <c r="I32" s="284">
        <f>SUM('表２１－２:表２１－３'!I32)</f>
        <v>2178</v>
      </c>
      <c r="J32" s="147">
        <f t="shared" si="14"/>
        <v>2178</v>
      </c>
      <c r="K32" s="275">
        <f t="shared" si="21"/>
      </c>
      <c r="L32" s="283">
        <f>SUM('表２１－２:表２１－３'!L32)</f>
        <v>0</v>
      </c>
      <c r="M32" s="284">
        <f>SUM('表２１－２:表２１－３'!M32)</f>
        <v>0</v>
      </c>
      <c r="N32" s="147">
        <f t="shared" si="15"/>
        <v>0</v>
      </c>
      <c r="O32" s="275">
        <f t="shared" si="22"/>
      </c>
      <c r="P32" s="283">
        <f>SUM('表２１－２:表２１－３'!P32)</f>
        <v>900962</v>
      </c>
      <c r="Q32" s="284">
        <f>SUM('表２１－２:表２１－３'!Q32)</f>
        <v>837659</v>
      </c>
      <c r="R32" s="147">
        <f t="shared" si="16"/>
        <v>-63303</v>
      </c>
      <c r="S32" s="275">
        <f t="shared" si="23"/>
        <v>-7.026156486067114</v>
      </c>
      <c r="T32" s="283">
        <f>SUM('表２１－２:表２１－３'!T32)</f>
        <v>116600</v>
      </c>
      <c r="U32" s="284">
        <f>SUM('表２１－２:表２１－３'!U32)</f>
        <v>37900</v>
      </c>
      <c r="V32" s="147">
        <f t="shared" si="17"/>
        <v>-78700</v>
      </c>
      <c r="W32" s="275">
        <f t="shared" si="24"/>
        <v>-67.49571183533448</v>
      </c>
      <c r="X32" s="283">
        <f>SUM('表２１－２:表２１－３'!X32)</f>
        <v>0</v>
      </c>
      <c r="Y32" s="284">
        <f>SUM('表２１－２:表２１－３'!Y32)</f>
        <v>0</v>
      </c>
      <c r="Z32" s="278">
        <f t="shared" si="9"/>
        <v>0</v>
      </c>
      <c r="AA32" s="243">
        <f t="shared" si="25"/>
      </c>
    </row>
    <row r="33" spans="1:27" s="73" customFormat="1" ht="23.25" customHeight="1">
      <c r="A33" s="130"/>
      <c r="B33" s="127"/>
      <c r="C33" s="75" t="s">
        <v>194</v>
      </c>
      <c r="D33" s="279">
        <f t="shared" si="18"/>
        <v>867949</v>
      </c>
      <c r="E33" s="280">
        <f t="shared" si="19"/>
        <v>1162554</v>
      </c>
      <c r="F33" s="147">
        <f t="shared" si="11"/>
        <v>294605</v>
      </c>
      <c r="G33" s="274">
        <f t="shared" si="20"/>
        <v>33.94266252971085</v>
      </c>
      <c r="H33" s="283">
        <f>SUM('表２１－２:表２１－３'!H33)</f>
        <v>484</v>
      </c>
      <c r="I33" s="284">
        <f>SUM('表２１－２:表２１－３'!I33)</f>
        <v>2533</v>
      </c>
      <c r="J33" s="147">
        <f t="shared" si="14"/>
        <v>2049</v>
      </c>
      <c r="K33" s="275">
        <f t="shared" si="21"/>
        <v>423.3471074380165</v>
      </c>
      <c r="L33" s="283">
        <f>SUM('表２１－２:表２１－３'!L33)</f>
        <v>159623</v>
      </c>
      <c r="M33" s="284">
        <f>SUM('表２１－２:表２１－３'!M33)</f>
        <v>156866</v>
      </c>
      <c r="N33" s="147">
        <f t="shared" si="15"/>
        <v>-2757</v>
      </c>
      <c r="O33" s="275">
        <f t="shared" si="22"/>
        <v>-1.7271947025178074</v>
      </c>
      <c r="P33" s="283">
        <f>SUM('表２１－２:表２１－３'!P33)</f>
        <v>649042</v>
      </c>
      <c r="Q33" s="284">
        <f>SUM('表２１－２:表２１－３'!Q33)</f>
        <v>907955</v>
      </c>
      <c r="R33" s="147">
        <f t="shared" si="16"/>
        <v>258913</v>
      </c>
      <c r="S33" s="275">
        <f t="shared" si="23"/>
        <v>39.891563257847714</v>
      </c>
      <c r="T33" s="283">
        <f>SUM('表２１－２:表２１－３'!T33)</f>
        <v>58800</v>
      </c>
      <c r="U33" s="284">
        <f>SUM('表２１－２:表２１－３'!U33)</f>
        <v>95200</v>
      </c>
      <c r="V33" s="147">
        <f t="shared" si="17"/>
        <v>36400</v>
      </c>
      <c r="W33" s="275">
        <f t="shared" si="24"/>
        <v>61.904761904761905</v>
      </c>
      <c r="X33" s="283">
        <f>SUM('表２１－２:表２１－３'!X33)</f>
        <v>0</v>
      </c>
      <c r="Y33" s="284">
        <f>SUM('表２１－２:表２１－３'!Y33)</f>
        <v>0</v>
      </c>
      <c r="Z33" s="278">
        <f t="shared" si="9"/>
        <v>0</v>
      </c>
      <c r="AA33" s="243">
        <f t="shared" si="25"/>
      </c>
    </row>
    <row r="34" spans="1:27" s="73" customFormat="1" ht="23.25" customHeight="1">
      <c r="A34" s="130"/>
      <c r="B34" s="127"/>
      <c r="C34" s="76" t="s">
        <v>195</v>
      </c>
      <c r="D34" s="279">
        <f t="shared" si="18"/>
        <v>1217953</v>
      </c>
      <c r="E34" s="280">
        <f t="shared" si="19"/>
        <v>1318942</v>
      </c>
      <c r="F34" s="147">
        <f t="shared" si="11"/>
        <v>100989</v>
      </c>
      <c r="G34" s="274">
        <f t="shared" si="20"/>
        <v>8.291699269183622</v>
      </c>
      <c r="H34" s="283">
        <f>SUM('表２１－２:表２１－３'!H34)</f>
        <v>74523</v>
      </c>
      <c r="I34" s="284">
        <f>SUM('表２１－２:表２１－３'!I34)</f>
        <v>70942</v>
      </c>
      <c r="J34" s="147">
        <f t="shared" si="14"/>
        <v>-3581</v>
      </c>
      <c r="K34" s="275">
        <f t="shared" si="21"/>
        <v>-4.805227916213786</v>
      </c>
      <c r="L34" s="283">
        <f>SUM('表２１－２:表２１－３'!L34)</f>
        <v>116222</v>
      </c>
      <c r="M34" s="284">
        <f>SUM('表２１－２:表２１－３'!M34)</f>
        <v>160836</v>
      </c>
      <c r="N34" s="147">
        <f t="shared" si="15"/>
        <v>44614</v>
      </c>
      <c r="O34" s="275">
        <f t="shared" si="22"/>
        <v>38.38688028084184</v>
      </c>
      <c r="P34" s="283">
        <f>SUM('表２１－２:表２１－３'!P34)</f>
        <v>1021008</v>
      </c>
      <c r="Q34" s="284">
        <f>SUM('表２１－２:表２１－３'!Q34)</f>
        <v>1081923</v>
      </c>
      <c r="R34" s="147">
        <f t="shared" si="16"/>
        <v>60915</v>
      </c>
      <c r="S34" s="275">
        <f t="shared" si="23"/>
        <v>5.966162850829768</v>
      </c>
      <c r="T34" s="283">
        <f>SUM('表２１－２:表２１－３'!T34)</f>
        <v>6200</v>
      </c>
      <c r="U34" s="284">
        <f>SUM('表２１－２:表２１－３'!U34)</f>
        <v>4900</v>
      </c>
      <c r="V34" s="147">
        <f t="shared" si="17"/>
        <v>-1300</v>
      </c>
      <c r="W34" s="275">
        <f t="shared" si="24"/>
        <v>-20.967741935483872</v>
      </c>
      <c r="X34" s="283">
        <f>SUM('表２１－２:表２１－３'!X34)</f>
        <v>0</v>
      </c>
      <c r="Y34" s="284">
        <f>SUM('表２１－２:表２１－３'!Y34)</f>
        <v>341</v>
      </c>
      <c r="Z34" s="278">
        <f t="shared" si="9"/>
        <v>341</v>
      </c>
      <c r="AA34" s="243">
        <f t="shared" si="25"/>
      </c>
    </row>
    <row r="35" spans="1:27" s="73" customFormat="1" ht="23.25" customHeight="1">
      <c r="A35" s="130"/>
      <c r="B35" s="127"/>
      <c r="C35" s="75" t="s">
        <v>196</v>
      </c>
      <c r="D35" s="279">
        <f t="shared" si="18"/>
        <v>777739</v>
      </c>
      <c r="E35" s="280">
        <f t="shared" si="19"/>
        <v>1029277</v>
      </c>
      <c r="F35" s="147">
        <f t="shared" si="11"/>
        <v>251538</v>
      </c>
      <c r="G35" s="274">
        <f t="shared" si="20"/>
        <v>32.34221249030845</v>
      </c>
      <c r="H35" s="283">
        <f>SUM('表２１－２:表２１－３'!H35)</f>
        <v>143627</v>
      </c>
      <c r="I35" s="284">
        <f>SUM('表２１－２:表２１－３'!I35)</f>
        <v>339518</v>
      </c>
      <c r="J35" s="147">
        <f t="shared" si="14"/>
        <v>195891</v>
      </c>
      <c r="K35" s="275">
        <f t="shared" si="21"/>
        <v>136.3887012887549</v>
      </c>
      <c r="L35" s="283">
        <f>SUM('表２１－２:表２１－３'!L35)</f>
        <v>51711</v>
      </c>
      <c r="M35" s="284">
        <f>SUM('表２１－２:表２１－３'!M35)</f>
        <v>59931</v>
      </c>
      <c r="N35" s="147">
        <f t="shared" si="15"/>
        <v>8220</v>
      </c>
      <c r="O35" s="275">
        <f t="shared" si="22"/>
        <v>15.896037593548762</v>
      </c>
      <c r="P35" s="283">
        <f>SUM('表２１－２:表２１－３'!P35)</f>
        <v>538201</v>
      </c>
      <c r="Q35" s="284">
        <f>SUM('表２１－２:表２１－３'!Q35)</f>
        <v>544228</v>
      </c>
      <c r="R35" s="147">
        <f t="shared" si="16"/>
        <v>6027</v>
      </c>
      <c r="S35" s="275">
        <f t="shared" si="23"/>
        <v>1.1198418434748356</v>
      </c>
      <c r="T35" s="283">
        <f>SUM('表２１－２:表２１－３'!T35)</f>
        <v>44200</v>
      </c>
      <c r="U35" s="284">
        <f>SUM('表２１－２:表２１－３'!U35)</f>
        <v>85600</v>
      </c>
      <c r="V35" s="147">
        <f t="shared" si="17"/>
        <v>41400</v>
      </c>
      <c r="W35" s="275">
        <f t="shared" si="24"/>
        <v>93.66515837104072</v>
      </c>
      <c r="X35" s="283">
        <f>SUM('表２１－２:表２１－３'!X35)</f>
        <v>0</v>
      </c>
      <c r="Y35" s="284">
        <f>SUM('表２１－２:表２１－３'!Y35)</f>
        <v>0</v>
      </c>
      <c r="Z35" s="278">
        <f t="shared" si="9"/>
        <v>0</v>
      </c>
      <c r="AA35" s="243">
        <f t="shared" si="25"/>
      </c>
    </row>
    <row r="36" spans="1:27" s="73" customFormat="1" ht="23.25" customHeight="1">
      <c r="A36" s="130"/>
      <c r="B36" s="127"/>
      <c r="C36" s="75"/>
      <c r="D36" s="286"/>
      <c r="E36" s="287"/>
      <c r="F36" s="147"/>
      <c r="G36" s="274"/>
      <c r="H36" s="272"/>
      <c r="I36" s="273"/>
      <c r="J36" s="244"/>
      <c r="K36" s="274"/>
      <c r="L36" s="272"/>
      <c r="M36" s="273"/>
      <c r="N36" s="147"/>
      <c r="O36" s="275"/>
      <c r="P36" s="272"/>
      <c r="Q36" s="273"/>
      <c r="R36" s="147"/>
      <c r="S36" s="275"/>
      <c r="T36" s="272"/>
      <c r="U36" s="273"/>
      <c r="V36" s="147"/>
      <c r="W36" s="275"/>
      <c r="X36" s="272"/>
      <c r="Y36" s="273"/>
      <c r="Z36" s="278"/>
      <c r="AA36" s="243"/>
    </row>
    <row r="37" spans="1:27" s="73" customFormat="1" ht="23.25" customHeight="1">
      <c r="A37" s="130"/>
      <c r="B37" s="126" t="s">
        <v>273</v>
      </c>
      <c r="C37" s="74" t="s">
        <v>135</v>
      </c>
      <c r="D37" s="267">
        <f>H37+L37+P37+T37+X37</f>
        <v>11967243</v>
      </c>
      <c r="E37" s="268">
        <f>I37+M37+Q37+U37+Y37</f>
        <v>12159627</v>
      </c>
      <c r="F37" s="242">
        <f t="shared" si="11"/>
        <v>192384</v>
      </c>
      <c r="G37" s="269">
        <f t="shared" si="20"/>
        <v>1.6075883142006895</v>
      </c>
      <c r="H37" s="267">
        <f>SUM('表２１－２:表２１－３'!H37)</f>
        <v>103341</v>
      </c>
      <c r="I37" s="268">
        <f>SUM('表２１－２:表２１－３'!I37)</f>
        <v>115190</v>
      </c>
      <c r="J37" s="242">
        <f>I37-H37</f>
        <v>11849</v>
      </c>
      <c r="K37" s="269">
        <f t="shared" si="21"/>
        <v>11.465923495998684</v>
      </c>
      <c r="L37" s="267">
        <f>SUM('表２１－２:表２１－３'!L37)</f>
        <v>4229989</v>
      </c>
      <c r="M37" s="268">
        <f>SUM('表２１－２:表２１－３'!M37)</f>
        <v>4806204</v>
      </c>
      <c r="N37" s="242">
        <f>M37-L37</f>
        <v>576215</v>
      </c>
      <c r="O37" s="269">
        <f t="shared" si="22"/>
        <v>13.62213944291581</v>
      </c>
      <c r="P37" s="267">
        <f>SUM('表２１－２:表２１－３'!P37)</f>
        <v>7505913</v>
      </c>
      <c r="Q37" s="268">
        <f>SUM('表２１－２:表２１－３'!Q37)</f>
        <v>7090088</v>
      </c>
      <c r="R37" s="242">
        <f>Q37-P37</f>
        <v>-415825</v>
      </c>
      <c r="S37" s="269">
        <f t="shared" si="23"/>
        <v>-5.539965624435029</v>
      </c>
      <c r="T37" s="267">
        <f>SUM('表２１－２:表２１－３'!T37)</f>
        <v>127900</v>
      </c>
      <c r="U37" s="268">
        <f>SUM('表２１－２:表２１－３'!U37)</f>
        <v>131800</v>
      </c>
      <c r="V37" s="242">
        <f>U37-T37</f>
        <v>3900</v>
      </c>
      <c r="W37" s="269">
        <f t="shared" si="24"/>
        <v>3.0492572322126663</v>
      </c>
      <c r="X37" s="267">
        <f>SUM('表２１－２:表２１－３'!X37)</f>
        <v>100</v>
      </c>
      <c r="Y37" s="268">
        <f>SUM('表２１－２:表２１－３'!Y37)</f>
        <v>16345</v>
      </c>
      <c r="Z37" s="270">
        <f t="shared" si="9"/>
        <v>16245</v>
      </c>
      <c r="AA37" s="271">
        <f t="shared" si="25"/>
        <v>16244.999999999998</v>
      </c>
    </row>
    <row r="38" spans="1:27" s="73" customFormat="1" ht="23.25" customHeight="1" thickBot="1">
      <c r="A38" s="125"/>
      <c r="B38" s="128"/>
      <c r="C38" s="77"/>
      <c r="D38" s="288"/>
      <c r="E38" s="289"/>
      <c r="F38" s="148"/>
      <c r="G38" s="290"/>
      <c r="H38" s="288"/>
      <c r="I38" s="289"/>
      <c r="J38" s="148"/>
      <c r="K38" s="290"/>
      <c r="L38" s="288"/>
      <c r="M38" s="289"/>
      <c r="N38" s="148"/>
      <c r="O38" s="290"/>
      <c r="P38" s="288"/>
      <c r="Q38" s="289"/>
      <c r="R38" s="148"/>
      <c r="S38" s="290"/>
      <c r="T38" s="288"/>
      <c r="U38" s="289"/>
      <c r="V38" s="148"/>
      <c r="W38" s="290"/>
      <c r="X38" s="288"/>
      <c r="Y38" s="289"/>
      <c r="Z38" s="148"/>
      <c r="AA38" s="291"/>
    </row>
    <row r="39" spans="1:28" ht="13.5">
      <c r="A39" s="131"/>
      <c r="B39" s="78"/>
      <c r="C39" s="78"/>
      <c r="D39" s="78"/>
      <c r="E39" s="78"/>
      <c r="F39" s="78"/>
      <c r="G39" s="78"/>
      <c r="H39" s="78"/>
      <c r="I39" s="78"/>
      <c r="J39" s="78"/>
      <c r="K39" s="78"/>
      <c r="L39" s="78"/>
      <c r="M39" s="78"/>
      <c r="N39" s="78"/>
      <c r="O39" s="78"/>
      <c r="P39" s="71"/>
      <c r="Q39" s="71"/>
      <c r="R39" s="71"/>
      <c r="S39" s="78"/>
      <c r="T39" s="71"/>
      <c r="U39" s="71"/>
      <c r="V39" s="71"/>
      <c r="W39" s="78"/>
      <c r="X39" s="71"/>
      <c r="Y39" s="71"/>
      <c r="Z39" s="71"/>
      <c r="AA39" s="71"/>
      <c r="AB39" s="71"/>
    </row>
    <row r="40" spans="1:28" ht="14.25" thickBot="1">
      <c r="A40" s="124"/>
      <c r="B40" s="71"/>
      <c r="C40" s="71"/>
      <c r="D40" s="71"/>
      <c r="E40" s="71"/>
      <c r="F40" s="71"/>
      <c r="H40" s="71"/>
      <c r="I40" s="71"/>
      <c r="J40" s="71"/>
      <c r="L40" s="71"/>
      <c r="M40" s="71"/>
      <c r="N40" s="71"/>
      <c r="P40" s="71"/>
      <c r="Q40" s="71"/>
      <c r="R40" s="71"/>
      <c r="T40" s="71"/>
      <c r="U40" s="71"/>
      <c r="V40" s="71"/>
      <c r="X40" s="71"/>
      <c r="Y40" s="71"/>
      <c r="Z40" s="71"/>
      <c r="AA40" s="71"/>
      <c r="AB40" s="71"/>
    </row>
    <row r="41" spans="1:28" s="64" customFormat="1" ht="23.25" customHeight="1">
      <c r="A41" s="1175" t="s">
        <v>165</v>
      </c>
      <c r="B41" s="1176"/>
      <c r="C41" s="1177"/>
      <c r="D41" s="442" t="s">
        <v>197</v>
      </c>
      <c r="E41" s="443"/>
      <c r="F41" s="443"/>
      <c r="G41" s="85"/>
      <c r="H41" s="79" t="s">
        <v>198</v>
      </c>
      <c r="I41" s="80"/>
      <c r="J41" s="80"/>
      <c r="K41" s="80"/>
      <c r="L41" s="80"/>
      <c r="M41" s="80"/>
      <c r="N41" s="80"/>
      <c r="O41" s="461"/>
      <c r="P41" s="80"/>
      <c r="Q41" s="80"/>
      <c r="R41" s="80"/>
      <c r="S41" s="80"/>
      <c r="T41" s="460" t="s">
        <v>199</v>
      </c>
      <c r="U41" s="450"/>
      <c r="V41" s="450"/>
      <c r="W41" s="136"/>
      <c r="AA41" s="248"/>
      <c r="AB41" s="248"/>
    </row>
    <row r="42" spans="1:23" s="64" customFormat="1" ht="23.25" customHeight="1">
      <c r="A42" s="1178"/>
      <c r="B42" s="1179"/>
      <c r="C42" s="1180"/>
      <c r="D42" s="444" t="s">
        <v>266</v>
      </c>
      <c r="E42" s="445"/>
      <c r="F42" s="445"/>
      <c r="G42" s="246"/>
      <c r="H42" s="446" t="s">
        <v>200</v>
      </c>
      <c r="I42" s="447"/>
      <c r="J42" s="447"/>
      <c r="K42" s="89"/>
      <c r="L42" s="446" t="s">
        <v>23</v>
      </c>
      <c r="M42" s="448"/>
      <c r="N42" s="448"/>
      <c r="O42" s="89"/>
      <c r="P42" s="446" t="s">
        <v>25</v>
      </c>
      <c r="Q42" s="448"/>
      <c r="R42" s="448"/>
      <c r="S42" s="449"/>
      <c r="T42" s="1173" t="s">
        <v>169</v>
      </c>
      <c r="U42" s="1197" t="s">
        <v>170</v>
      </c>
      <c r="V42" s="1198" t="s">
        <v>173</v>
      </c>
      <c r="W42" s="1200" t="s">
        <v>172</v>
      </c>
    </row>
    <row r="43" spans="1:24" s="64" customFormat="1" ht="23.25" customHeight="1">
      <c r="A43" s="1181"/>
      <c r="B43" s="1182"/>
      <c r="C43" s="1183"/>
      <c r="D43" s="67" t="s">
        <v>169</v>
      </c>
      <c r="E43" s="67" t="s">
        <v>170</v>
      </c>
      <c r="F43" s="67" t="s">
        <v>173</v>
      </c>
      <c r="G43" s="68" t="s">
        <v>172</v>
      </c>
      <c r="H43" s="70" t="s">
        <v>174</v>
      </c>
      <c r="I43" s="69" t="s">
        <v>170</v>
      </c>
      <c r="J43" s="67" t="s">
        <v>173</v>
      </c>
      <c r="K43" s="68" t="s">
        <v>172</v>
      </c>
      <c r="L43" s="69" t="s">
        <v>169</v>
      </c>
      <c r="M43" s="69" t="s">
        <v>170</v>
      </c>
      <c r="N43" s="67" t="s">
        <v>173</v>
      </c>
      <c r="O43" s="68" t="s">
        <v>172</v>
      </c>
      <c r="P43" s="69" t="s">
        <v>169</v>
      </c>
      <c r="Q43" s="69" t="s">
        <v>170</v>
      </c>
      <c r="R43" s="67" t="s">
        <v>173</v>
      </c>
      <c r="S43" s="451" t="s">
        <v>172</v>
      </c>
      <c r="T43" s="1174"/>
      <c r="U43" s="1174"/>
      <c r="V43" s="1199"/>
      <c r="W43" s="1201"/>
      <c r="X43" s="458"/>
    </row>
    <row r="44" spans="1:24" ht="23.25" customHeight="1">
      <c r="A44" s="124"/>
      <c r="B44" s="71"/>
      <c r="C44" s="72"/>
      <c r="D44" s="259"/>
      <c r="E44" s="260"/>
      <c r="F44" s="261"/>
      <c r="G44" s="262"/>
      <c r="H44" s="259"/>
      <c r="I44" s="260"/>
      <c r="J44" s="261"/>
      <c r="K44" s="262"/>
      <c r="L44" s="259"/>
      <c r="M44" s="260"/>
      <c r="N44" s="261"/>
      <c r="O44" s="262"/>
      <c r="P44" s="259"/>
      <c r="Q44" s="260"/>
      <c r="R44" s="261"/>
      <c r="S44" s="262"/>
      <c r="T44" s="261"/>
      <c r="U44" s="261"/>
      <c r="V44" s="261"/>
      <c r="W44" s="454"/>
      <c r="X44" s="124"/>
    </row>
    <row r="45" spans="1:24" ht="23.25" customHeight="1">
      <c r="A45" s="129" t="s">
        <v>175</v>
      </c>
      <c r="B45" s="126"/>
      <c r="C45" s="74"/>
      <c r="D45" s="267">
        <f>D47+D62+D74</f>
        <v>24188</v>
      </c>
      <c r="E45" s="293">
        <f>E47+E62+E74</f>
        <v>12405</v>
      </c>
      <c r="F45" s="242">
        <f>E45-D45</f>
        <v>-11783</v>
      </c>
      <c r="G45" s="269">
        <f>_xlfn.IFERROR(F45/D45*100,"")</f>
        <v>-48.71423846535472</v>
      </c>
      <c r="H45" s="267">
        <f>H47+H62+H74</f>
        <v>155506132</v>
      </c>
      <c r="I45" s="268">
        <f>I47+I62+I74</f>
        <v>158580989</v>
      </c>
      <c r="J45" s="242">
        <f>I45-H45</f>
        <v>3074857</v>
      </c>
      <c r="K45" s="269">
        <f>_xlfn.IFERROR(J45/H45*100,"")</f>
        <v>1.9773220261179152</v>
      </c>
      <c r="L45" s="267">
        <f>L47+L62+L74</f>
        <v>20414440</v>
      </c>
      <c r="M45" s="268">
        <f>M47+M62+M74</f>
        <v>16908797</v>
      </c>
      <c r="N45" s="242">
        <f>M45-L45</f>
        <v>-3505643</v>
      </c>
      <c r="O45" s="269">
        <f>_xlfn.IFERROR(N45/L45*100,"")</f>
        <v>-17.172369166139262</v>
      </c>
      <c r="P45" s="267">
        <f>P47+P62+P74</f>
        <v>8933055</v>
      </c>
      <c r="Q45" s="268">
        <f>Q47+Q62+Q74</f>
        <v>9682832</v>
      </c>
      <c r="R45" s="242">
        <f>Q45-P45</f>
        <v>749777</v>
      </c>
      <c r="S45" s="269">
        <f>_xlfn.IFERROR(R45/P45*100,"")</f>
        <v>8.393287626685384</v>
      </c>
      <c r="T45" s="268">
        <f>T47+T62+T74</f>
        <v>4384425</v>
      </c>
      <c r="U45" s="268">
        <f>U47+U62+U74</f>
        <v>4208205</v>
      </c>
      <c r="V45" s="242">
        <f>U45-T45</f>
        <v>-176220</v>
      </c>
      <c r="W45" s="455">
        <f>_xlfn.IFERROR(V45/T45*100,"")</f>
        <v>-4.019227150652594</v>
      </c>
      <c r="X45" s="124"/>
    </row>
    <row r="46" spans="1:24" ht="23.25" customHeight="1">
      <c r="A46" s="130"/>
      <c r="B46" s="127"/>
      <c r="C46" s="75"/>
      <c r="D46" s="272"/>
      <c r="E46" s="273"/>
      <c r="F46" s="147"/>
      <c r="G46" s="275"/>
      <c r="H46" s="286"/>
      <c r="I46" s="287"/>
      <c r="J46" s="147"/>
      <c r="K46" s="275"/>
      <c r="L46" s="286"/>
      <c r="M46" s="287"/>
      <c r="N46" s="147"/>
      <c r="O46" s="275"/>
      <c r="P46" s="286"/>
      <c r="Q46" s="287"/>
      <c r="R46" s="147"/>
      <c r="S46" s="275"/>
      <c r="T46" s="295"/>
      <c r="U46" s="295"/>
      <c r="V46" s="147"/>
      <c r="W46" s="456"/>
      <c r="X46" s="124"/>
    </row>
    <row r="47" spans="1:24" ht="23.25" customHeight="1">
      <c r="A47" s="130"/>
      <c r="B47" s="126" t="s">
        <v>176</v>
      </c>
      <c r="C47" s="74" t="s">
        <v>135</v>
      </c>
      <c r="D47" s="296"/>
      <c r="E47" s="297"/>
      <c r="F47" s="298"/>
      <c r="G47" s="299"/>
      <c r="H47" s="267">
        <f>SUM(H48:H60)</f>
        <v>130605849</v>
      </c>
      <c r="I47" s="268">
        <f>SUM(I48:I60)</f>
        <v>133395586</v>
      </c>
      <c r="J47" s="242">
        <f aca="true" t="shared" si="26" ref="J47:J58">I47-H47</f>
        <v>2789737</v>
      </c>
      <c r="K47" s="269">
        <f aca="true" t="shared" si="27" ref="K47:K60">_xlfn.IFERROR(J47/H47*100,"")</f>
        <v>2.135996987393727</v>
      </c>
      <c r="L47" s="267">
        <f>SUM(L48:L60)</f>
        <v>17099097</v>
      </c>
      <c r="M47" s="268">
        <f>SUM(M48:M60)</f>
        <v>14187865</v>
      </c>
      <c r="N47" s="242">
        <f aca="true" t="shared" si="28" ref="N47:N58">M47-L47</f>
        <v>-2911232</v>
      </c>
      <c r="O47" s="269">
        <f aca="true" t="shared" si="29" ref="O47:O60">_xlfn.IFERROR(N47/L47*100,"")</f>
        <v>-17.025647611683823</v>
      </c>
      <c r="P47" s="267">
        <f>SUM(P48:P60)</f>
        <v>7450088</v>
      </c>
      <c r="Q47" s="268">
        <f>SUM(Q48:Q60)</f>
        <v>8021740</v>
      </c>
      <c r="R47" s="242">
        <f aca="true" t="shared" si="30" ref="R47:R58">Q47-P47</f>
        <v>571652</v>
      </c>
      <c r="S47" s="269">
        <f aca="true" t="shared" si="31" ref="S47:S60">_xlfn.IFERROR(R47/P47*100,"")</f>
        <v>7.673090572889878</v>
      </c>
      <c r="T47" s="268">
        <f>SUM(T48:T60)</f>
        <v>3328990</v>
      </c>
      <c r="U47" s="268">
        <f>SUM(U48:U60)</f>
        <v>3208687</v>
      </c>
      <c r="V47" s="242">
        <f aca="true" t="shared" si="32" ref="V47:V58">U47-T47</f>
        <v>-120303</v>
      </c>
      <c r="W47" s="455">
        <f aca="true" t="shared" si="33" ref="W47:W60">_xlfn.IFERROR(V47/T47*100,"")</f>
        <v>-3.613798779810092</v>
      </c>
      <c r="X47" s="459"/>
    </row>
    <row r="48" spans="1:24" ht="23.25" customHeight="1">
      <c r="A48" s="130"/>
      <c r="B48" s="127"/>
      <c r="C48" s="75" t="s">
        <v>177</v>
      </c>
      <c r="D48" s="296"/>
      <c r="E48" s="297"/>
      <c r="F48" s="298"/>
      <c r="G48" s="299"/>
      <c r="H48" s="283">
        <f>SUM('表２１－２:表２１－３'!H48)</f>
        <v>1460184</v>
      </c>
      <c r="I48" s="284">
        <f>SUM('表２１－２:表２１－３'!I48)</f>
        <v>1397012</v>
      </c>
      <c r="J48" s="147">
        <f t="shared" si="26"/>
        <v>-63172</v>
      </c>
      <c r="K48" s="275">
        <f t="shared" si="27"/>
        <v>-4.326304082225254</v>
      </c>
      <c r="L48" s="283">
        <f>SUM('表２１－２:表２１－３'!L48)</f>
        <v>121569</v>
      </c>
      <c r="M48" s="284">
        <f>SUM('表２１－２:表２１－３'!M48)</f>
        <v>23407</v>
      </c>
      <c r="N48" s="147">
        <f t="shared" si="28"/>
        <v>-98162</v>
      </c>
      <c r="O48" s="275">
        <f t="shared" si="29"/>
        <v>-80.74591384316724</v>
      </c>
      <c r="P48" s="283">
        <f>SUM('表２１－２:表２１－３'!P48)</f>
        <v>62545</v>
      </c>
      <c r="Q48" s="284">
        <f>SUM('表２１－２:表２１－３'!Q48)</f>
        <v>73330</v>
      </c>
      <c r="R48" s="147">
        <f t="shared" si="30"/>
        <v>10785</v>
      </c>
      <c r="S48" s="275">
        <f t="shared" si="31"/>
        <v>17.243584619074266</v>
      </c>
      <c r="T48" s="300">
        <f>SUM('表２１－２:表２１－３'!T48)</f>
        <v>12749</v>
      </c>
      <c r="U48" s="300">
        <f>SUM('表２１－２:表２１－３'!U48)</f>
        <v>6829</v>
      </c>
      <c r="V48" s="147">
        <f t="shared" si="32"/>
        <v>-5920</v>
      </c>
      <c r="W48" s="456">
        <f t="shared" si="33"/>
        <v>-46.43501451094203</v>
      </c>
      <c r="X48" s="124"/>
    </row>
    <row r="49" spans="1:24" ht="23.25" customHeight="1">
      <c r="A49" s="130"/>
      <c r="B49" s="127"/>
      <c r="C49" s="75" t="s">
        <v>178</v>
      </c>
      <c r="D49" s="296"/>
      <c r="E49" s="297"/>
      <c r="F49" s="298"/>
      <c r="G49" s="299"/>
      <c r="H49" s="283">
        <f>SUM('表２１－２:表２１－３'!H49)</f>
        <v>56463656</v>
      </c>
      <c r="I49" s="284">
        <f>SUM('表２１－２:表２１－３'!I49)</f>
        <v>56328211</v>
      </c>
      <c r="J49" s="147">
        <f t="shared" si="26"/>
        <v>-135445</v>
      </c>
      <c r="K49" s="275">
        <f t="shared" si="27"/>
        <v>-0.23987996809841713</v>
      </c>
      <c r="L49" s="283">
        <f>SUM('表２１－２:表２１－３'!L49)</f>
        <v>8785677</v>
      </c>
      <c r="M49" s="284">
        <f>SUM('表２１－２:表２１－３'!M49)</f>
        <v>7457243</v>
      </c>
      <c r="N49" s="147">
        <f t="shared" si="28"/>
        <v>-1328434</v>
      </c>
      <c r="O49" s="275">
        <f t="shared" si="29"/>
        <v>-15.120451161589482</v>
      </c>
      <c r="P49" s="283">
        <f>SUM('表２１－２:表２１－３'!P49)</f>
        <v>3613033</v>
      </c>
      <c r="Q49" s="284">
        <f>SUM('表２１－２:表２１－３'!Q49)</f>
        <v>3976725</v>
      </c>
      <c r="R49" s="147">
        <f t="shared" si="30"/>
        <v>363692</v>
      </c>
      <c r="S49" s="275">
        <f t="shared" si="31"/>
        <v>10.066113428800678</v>
      </c>
      <c r="T49" s="300">
        <f>SUM('表２１－２:表２１－３'!T49)</f>
        <v>61284</v>
      </c>
      <c r="U49" s="300">
        <f>SUM('表２１－２:表２１－３'!U49)</f>
        <v>56843</v>
      </c>
      <c r="V49" s="147">
        <f t="shared" si="32"/>
        <v>-4441</v>
      </c>
      <c r="W49" s="456">
        <f t="shared" si="33"/>
        <v>-7.246589648195287</v>
      </c>
      <c r="X49" s="124"/>
    </row>
    <row r="50" spans="1:24" ht="23.25" customHeight="1">
      <c r="A50" s="130"/>
      <c r="B50" s="127"/>
      <c r="C50" s="75" t="s">
        <v>179</v>
      </c>
      <c r="D50" s="296"/>
      <c r="E50" s="297"/>
      <c r="F50" s="298"/>
      <c r="G50" s="299"/>
      <c r="H50" s="283">
        <f>SUM('表２１－２:表２１－３'!H50)</f>
        <v>31550447</v>
      </c>
      <c r="I50" s="284">
        <f>SUM('表２１－２:表２１－３'!I50)</f>
        <v>32301258</v>
      </c>
      <c r="J50" s="147">
        <f t="shared" si="26"/>
        <v>750811</v>
      </c>
      <c r="K50" s="275">
        <f t="shared" si="27"/>
        <v>2.3797158880189557</v>
      </c>
      <c r="L50" s="283">
        <f>SUM('表２１－２:表２１－３'!L50)</f>
        <v>4939995</v>
      </c>
      <c r="M50" s="284">
        <f>SUM('表２１－２:表２１－３'!M50)</f>
        <v>2939414</v>
      </c>
      <c r="N50" s="147">
        <f t="shared" si="28"/>
        <v>-2000581</v>
      </c>
      <c r="O50" s="275">
        <f t="shared" si="29"/>
        <v>-40.49763208262356</v>
      </c>
      <c r="P50" s="283">
        <f>SUM('表２１－２:表２１－３'!P50)</f>
        <v>2431675</v>
      </c>
      <c r="Q50" s="284">
        <f>SUM('表２１－２:表２１－３'!Q50)</f>
        <v>2299846</v>
      </c>
      <c r="R50" s="147">
        <f t="shared" si="30"/>
        <v>-131829</v>
      </c>
      <c r="S50" s="275">
        <f t="shared" si="31"/>
        <v>-5.421324806974616</v>
      </c>
      <c r="T50" s="300">
        <f>SUM('表２１－２:表２１－３'!T50)</f>
        <v>35186</v>
      </c>
      <c r="U50" s="300">
        <f>SUM('表２１－２:表２１－３'!U50)</f>
        <v>32626</v>
      </c>
      <c r="V50" s="147">
        <f t="shared" si="32"/>
        <v>-2560</v>
      </c>
      <c r="W50" s="456">
        <f t="shared" si="33"/>
        <v>-7.27562098561928</v>
      </c>
      <c r="X50" s="124"/>
    </row>
    <row r="51" spans="1:24" ht="23.25" customHeight="1">
      <c r="A51" s="130"/>
      <c r="B51" s="127"/>
      <c r="C51" s="75" t="s">
        <v>245</v>
      </c>
      <c r="D51" s="296"/>
      <c r="E51" s="297"/>
      <c r="F51" s="298"/>
      <c r="G51" s="299"/>
      <c r="H51" s="283">
        <f>SUM('表２１－２:表２１－３'!H51)</f>
        <v>9391819</v>
      </c>
      <c r="I51" s="284">
        <f>SUM('表２１－２:表２１－３'!I51)</f>
        <v>9665628</v>
      </c>
      <c r="J51" s="147">
        <f t="shared" si="26"/>
        <v>273809</v>
      </c>
      <c r="K51" s="275">
        <f t="shared" si="27"/>
        <v>2.9153990297300236</v>
      </c>
      <c r="L51" s="283">
        <f>SUM('表２１－２:表２１－３'!L51)</f>
        <v>177031</v>
      </c>
      <c r="M51" s="284">
        <f>SUM('表２１－２:表２１－３'!M51)</f>
        <v>124044</v>
      </c>
      <c r="N51" s="147">
        <f t="shared" si="28"/>
        <v>-52987</v>
      </c>
      <c r="O51" s="275">
        <f t="shared" si="29"/>
        <v>-29.930916054250385</v>
      </c>
      <c r="P51" s="283">
        <f>SUM('表２１－２:表２１－３'!P51)</f>
        <v>251950</v>
      </c>
      <c r="Q51" s="284">
        <f>SUM('表２１－２:表２１－３'!Q51)</f>
        <v>219110</v>
      </c>
      <c r="R51" s="147">
        <f t="shared" si="30"/>
        <v>-32840</v>
      </c>
      <c r="S51" s="275">
        <f t="shared" si="31"/>
        <v>-13.034332208771582</v>
      </c>
      <c r="T51" s="300">
        <f>SUM('表２１－２:表２１－３'!T51)</f>
        <v>837</v>
      </c>
      <c r="U51" s="300">
        <f>SUM('表２１－２:表２１－３'!U51)</f>
        <v>674</v>
      </c>
      <c r="V51" s="147">
        <f t="shared" si="32"/>
        <v>-163</v>
      </c>
      <c r="W51" s="456">
        <f t="shared" si="33"/>
        <v>-19.47431302270012</v>
      </c>
      <c r="X51" s="124"/>
    </row>
    <row r="52" spans="1:24" ht="23.25" customHeight="1">
      <c r="A52" s="130"/>
      <c r="B52" s="127"/>
      <c r="C52" s="75" t="s">
        <v>180</v>
      </c>
      <c r="D52" s="296"/>
      <c r="E52" s="297"/>
      <c r="F52" s="298"/>
      <c r="G52" s="299"/>
      <c r="H52" s="283">
        <f>SUM('表２１－２:表２１－３'!H52)</f>
        <v>27394796</v>
      </c>
      <c r="I52" s="284">
        <f>SUM('表２１－２:表２１－３'!I52)</f>
        <v>28652819</v>
      </c>
      <c r="J52" s="147">
        <f t="shared" si="26"/>
        <v>1258023</v>
      </c>
      <c r="K52" s="275">
        <f t="shared" si="27"/>
        <v>4.59219699975134</v>
      </c>
      <c r="L52" s="283">
        <f>SUM('表２１－２:表２１－３'!L52)</f>
        <v>2829420</v>
      </c>
      <c r="M52" s="284">
        <f>SUM('表２１－２:表２１－３'!M52)</f>
        <v>3606642</v>
      </c>
      <c r="N52" s="147">
        <f t="shared" si="28"/>
        <v>777222</v>
      </c>
      <c r="O52" s="275">
        <f t="shared" si="29"/>
        <v>27.46930466314651</v>
      </c>
      <c r="P52" s="283">
        <f>SUM('表２１－２:表２１－３'!P52)</f>
        <v>1054533</v>
      </c>
      <c r="Q52" s="284">
        <f>SUM('表２１－２:表２１－３'!Q52)</f>
        <v>1409305</v>
      </c>
      <c r="R52" s="147">
        <f t="shared" si="30"/>
        <v>354772</v>
      </c>
      <c r="S52" s="275">
        <f t="shared" si="31"/>
        <v>33.64256974414267</v>
      </c>
      <c r="T52" s="300">
        <f>SUM('表２１－２:表２１－３'!T52)</f>
        <v>2979391</v>
      </c>
      <c r="U52" s="300">
        <f>SUM('表２１－２:表２１－３'!U52)</f>
        <v>2874223</v>
      </c>
      <c r="V52" s="147">
        <f t="shared" si="32"/>
        <v>-105168</v>
      </c>
      <c r="W52" s="456">
        <f t="shared" si="33"/>
        <v>-3.5298488852252023</v>
      </c>
      <c r="X52" s="124"/>
    </row>
    <row r="53" spans="1:24" ht="23.25" customHeight="1">
      <c r="A53" s="130"/>
      <c r="B53" s="127"/>
      <c r="C53" s="75" t="s">
        <v>181</v>
      </c>
      <c r="D53" s="296"/>
      <c r="E53" s="297"/>
      <c r="F53" s="298"/>
      <c r="G53" s="299"/>
      <c r="H53" s="283">
        <f>SUM('表２１－２:表２１－３'!H53)</f>
        <v>895678</v>
      </c>
      <c r="I53" s="284">
        <f>SUM('表２１－２:表２１－３'!I53)</f>
        <v>942297</v>
      </c>
      <c r="J53" s="147">
        <f t="shared" si="26"/>
        <v>46619</v>
      </c>
      <c r="K53" s="275">
        <f t="shared" si="27"/>
        <v>5.2048838980079895</v>
      </c>
      <c r="L53" s="283">
        <f>SUM('表２１－２:表２１－３'!L53)</f>
        <v>861</v>
      </c>
      <c r="M53" s="284">
        <f>SUM('表２１－２:表２１－３'!M53)</f>
        <v>273</v>
      </c>
      <c r="N53" s="147">
        <f t="shared" si="28"/>
        <v>-588</v>
      </c>
      <c r="O53" s="275">
        <f t="shared" si="29"/>
        <v>-68.29268292682927</v>
      </c>
      <c r="P53" s="283">
        <f>SUM('表２１－２:表２１－３'!P53)</f>
        <v>0</v>
      </c>
      <c r="Q53" s="284">
        <f>SUM('表２１－２:表２１－３'!Q53)</f>
        <v>0</v>
      </c>
      <c r="R53" s="147">
        <f t="shared" si="30"/>
        <v>0</v>
      </c>
      <c r="S53" s="275">
        <f t="shared" si="31"/>
      </c>
      <c r="T53" s="300">
        <f>SUM('表２１－２:表２１－３'!T53)</f>
        <v>11828</v>
      </c>
      <c r="U53" s="300">
        <f>SUM('表２１－２:表２１－３'!U53)</f>
        <v>10369</v>
      </c>
      <c r="V53" s="147">
        <f t="shared" si="32"/>
        <v>-1459</v>
      </c>
      <c r="W53" s="456">
        <f t="shared" si="33"/>
        <v>-12.335136963138316</v>
      </c>
      <c r="X53" s="124"/>
    </row>
    <row r="54" spans="1:24" ht="23.25" customHeight="1">
      <c r="A54" s="130"/>
      <c r="B54" s="127"/>
      <c r="C54" s="75" t="s">
        <v>182</v>
      </c>
      <c r="D54" s="296"/>
      <c r="E54" s="297"/>
      <c r="F54" s="298"/>
      <c r="G54" s="299"/>
      <c r="H54" s="283">
        <f>SUM('表２１－２:表２１－３'!H54)</f>
        <v>177018</v>
      </c>
      <c r="I54" s="284">
        <f>SUM('表２１－２:表２１－３'!I54)</f>
        <v>168970</v>
      </c>
      <c r="J54" s="147">
        <f t="shared" si="26"/>
        <v>-8048</v>
      </c>
      <c r="K54" s="275">
        <f t="shared" si="27"/>
        <v>-4.546430306522501</v>
      </c>
      <c r="L54" s="283">
        <f>SUM('表２１－２:表２１－３'!L54)</f>
        <v>0</v>
      </c>
      <c r="M54" s="284">
        <f>SUM('表２１－２:表２１－３'!M54)</f>
        <v>0</v>
      </c>
      <c r="N54" s="147">
        <f t="shared" si="28"/>
        <v>0</v>
      </c>
      <c r="O54" s="275">
        <f t="shared" si="29"/>
      </c>
      <c r="P54" s="283">
        <f>SUM('表２１－２:表２１－３'!P54)</f>
        <v>0</v>
      </c>
      <c r="Q54" s="284">
        <f>SUM('表２１－２:表２１－３'!Q54)</f>
        <v>0</v>
      </c>
      <c r="R54" s="147">
        <f t="shared" si="30"/>
        <v>0</v>
      </c>
      <c r="S54" s="275">
        <f t="shared" si="31"/>
      </c>
      <c r="T54" s="300">
        <f>SUM('表２１－２:表２１－３'!T54)</f>
        <v>3692</v>
      </c>
      <c r="U54" s="300">
        <f>SUM('表２１－２:表２１－３'!U54)</f>
        <v>4098</v>
      </c>
      <c r="V54" s="147">
        <f t="shared" si="32"/>
        <v>406</v>
      </c>
      <c r="W54" s="456">
        <f t="shared" si="33"/>
        <v>10.996749729144096</v>
      </c>
      <c r="X54" s="124"/>
    </row>
    <row r="55" spans="1:24" ht="23.25" customHeight="1">
      <c r="A55" s="130"/>
      <c r="B55" s="127"/>
      <c r="C55" s="75" t="s">
        <v>38</v>
      </c>
      <c r="D55" s="296"/>
      <c r="E55" s="297"/>
      <c r="F55" s="298"/>
      <c r="G55" s="299"/>
      <c r="H55" s="283">
        <f>SUM('表２１－２:表２１－３'!H55)</f>
        <v>2189438</v>
      </c>
      <c r="I55" s="284">
        <f>SUM('表２１－２:表２１－３'!I55)</f>
        <v>2256575</v>
      </c>
      <c r="J55" s="147">
        <f t="shared" si="26"/>
        <v>67137</v>
      </c>
      <c r="K55" s="275">
        <f t="shared" si="27"/>
        <v>3.0664033418621583</v>
      </c>
      <c r="L55" s="283">
        <f>SUM('表２１－２:表２１－３'!L55)</f>
        <v>11660</v>
      </c>
      <c r="M55" s="284">
        <f>SUM('表２１－２:表２１－３'!M55)</f>
        <v>7997</v>
      </c>
      <c r="N55" s="147">
        <f t="shared" si="28"/>
        <v>-3663</v>
      </c>
      <c r="O55" s="275">
        <f t="shared" si="29"/>
        <v>-31.41509433962264</v>
      </c>
      <c r="P55" s="283">
        <f>SUM('表２１－２:表２１－３'!P55)</f>
        <v>35842</v>
      </c>
      <c r="Q55" s="284">
        <f>SUM('表２１－２:表２１－３'!Q55)</f>
        <v>42565</v>
      </c>
      <c r="R55" s="147">
        <f t="shared" si="30"/>
        <v>6723</v>
      </c>
      <c r="S55" s="275">
        <f t="shared" si="31"/>
        <v>18.757323810055244</v>
      </c>
      <c r="T55" s="300">
        <f>SUM('表２１－２:表２１－３'!T55)</f>
        <v>156864</v>
      </c>
      <c r="U55" s="300">
        <f>SUM('表２１－２:表２１－３'!U55)</f>
        <v>147625</v>
      </c>
      <c r="V55" s="147">
        <f t="shared" si="32"/>
        <v>-9239</v>
      </c>
      <c r="W55" s="456">
        <f t="shared" si="33"/>
        <v>-5.889815381476948</v>
      </c>
      <c r="X55" s="124"/>
    </row>
    <row r="56" spans="1:24" ht="23.25" customHeight="1">
      <c r="A56" s="130"/>
      <c r="B56" s="127"/>
      <c r="C56" s="75" t="s">
        <v>183</v>
      </c>
      <c r="D56" s="296"/>
      <c r="E56" s="297"/>
      <c r="F56" s="298"/>
      <c r="G56" s="299"/>
      <c r="H56" s="283">
        <f>SUM('表２１－２:表２１－３'!H56)</f>
        <v>216093</v>
      </c>
      <c r="I56" s="284">
        <f>SUM('表２１－２:表２１－３'!I56)</f>
        <v>208891</v>
      </c>
      <c r="J56" s="147">
        <f t="shared" si="26"/>
        <v>-7202</v>
      </c>
      <c r="K56" s="275">
        <f t="shared" si="27"/>
        <v>-3.3328242932441126</v>
      </c>
      <c r="L56" s="283">
        <f>SUM('表２１－２:表２１－３'!L56)</f>
        <v>30508</v>
      </c>
      <c r="M56" s="284">
        <f>SUM('表２１－２:表２１－３'!M56)</f>
        <v>3237</v>
      </c>
      <c r="N56" s="147">
        <f t="shared" si="28"/>
        <v>-27271</v>
      </c>
      <c r="O56" s="275">
        <f t="shared" si="29"/>
        <v>-89.38966828372887</v>
      </c>
      <c r="P56" s="283">
        <f>SUM('表２１－２:表２１－３'!P56)</f>
        <v>0</v>
      </c>
      <c r="Q56" s="284">
        <f>SUM('表２１－２:表２１－３'!Q56)</f>
        <v>0</v>
      </c>
      <c r="R56" s="147">
        <f t="shared" si="30"/>
        <v>0</v>
      </c>
      <c r="S56" s="275">
        <f t="shared" si="31"/>
      </c>
      <c r="T56" s="300">
        <f>SUM('表２１－２:表２１－３'!T56)</f>
        <v>16288</v>
      </c>
      <c r="U56" s="300">
        <f>SUM('表２１－２:表２１－３'!U56)</f>
        <v>16299</v>
      </c>
      <c r="V56" s="147">
        <f t="shared" si="32"/>
        <v>11</v>
      </c>
      <c r="W56" s="456">
        <f t="shared" si="33"/>
        <v>0.06753438113948919</v>
      </c>
      <c r="X56" s="124"/>
    </row>
    <row r="57" spans="1:24" ht="23.25" customHeight="1">
      <c r="A57" s="130"/>
      <c r="B57" s="127"/>
      <c r="C57" s="75" t="s">
        <v>184</v>
      </c>
      <c r="D57" s="296"/>
      <c r="E57" s="297"/>
      <c r="F57" s="298"/>
      <c r="G57" s="299"/>
      <c r="H57" s="283">
        <f>SUM('表２１－２:表２１－３'!H57)</f>
        <v>0</v>
      </c>
      <c r="I57" s="284">
        <f>SUM('表２１－２:表２１－３'!I57)</f>
        <v>0</v>
      </c>
      <c r="J57" s="147">
        <f t="shared" si="26"/>
        <v>0</v>
      </c>
      <c r="K57" s="275">
        <f t="shared" si="27"/>
      </c>
      <c r="L57" s="283">
        <f>SUM('表２１－２:表２１－３'!L57)</f>
        <v>0</v>
      </c>
      <c r="M57" s="284">
        <f>SUM('表２１－２:表２１－３'!M57)</f>
        <v>0</v>
      </c>
      <c r="N57" s="147">
        <f t="shared" si="28"/>
        <v>0</v>
      </c>
      <c r="O57" s="275">
        <f t="shared" si="29"/>
      </c>
      <c r="P57" s="283">
        <f>SUM('表２１－２:表２１－３'!P57)</f>
        <v>0</v>
      </c>
      <c r="Q57" s="284">
        <f>SUM('表２１－２:表２１－３'!Q57)</f>
        <v>0</v>
      </c>
      <c r="R57" s="147">
        <f t="shared" si="30"/>
        <v>0</v>
      </c>
      <c r="S57" s="275">
        <f t="shared" si="31"/>
      </c>
      <c r="T57" s="300">
        <f>SUM('表２１－２:表２１－３'!T57)</f>
        <v>0</v>
      </c>
      <c r="U57" s="300">
        <f>SUM('表２１－２:表２１－３'!U57)</f>
        <v>0</v>
      </c>
      <c r="V57" s="147">
        <f t="shared" si="32"/>
        <v>0</v>
      </c>
      <c r="W57" s="456">
        <f t="shared" si="33"/>
      </c>
      <c r="X57" s="124"/>
    </row>
    <row r="58" spans="1:24" ht="23.25" customHeight="1">
      <c r="A58" s="130"/>
      <c r="B58" s="127"/>
      <c r="C58" s="75" t="s">
        <v>185</v>
      </c>
      <c r="D58" s="296"/>
      <c r="E58" s="297"/>
      <c r="F58" s="298"/>
      <c r="G58" s="299"/>
      <c r="H58" s="283">
        <f>SUM('表２１－２:表２１－３'!H58)</f>
        <v>0</v>
      </c>
      <c r="I58" s="284">
        <f>SUM('表２１－２:表２１－３'!I58)</f>
        <v>0</v>
      </c>
      <c r="J58" s="147">
        <f t="shared" si="26"/>
        <v>0</v>
      </c>
      <c r="K58" s="275">
        <f t="shared" si="27"/>
      </c>
      <c r="L58" s="283">
        <f>SUM('表２１－２:表２１－３'!L58)</f>
        <v>0</v>
      </c>
      <c r="M58" s="284">
        <f>SUM('表２１－２:表２１－３'!M58)</f>
        <v>0</v>
      </c>
      <c r="N58" s="147">
        <f t="shared" si="28"/>
        <v>0</v>
      </c>
      <c r="O58" s="275">
        <f t="shared" si="29"/>
      </c>
      <c r="P58" s="283">
        <f>SUM('表２１－２:表２１－３'!P58)</f>
        <v>0</v>
      </c>
      <c r="Q58" s="284">
        <f>SUM('表２１－２:表２１－３'!Q58)</f>
        <v>0</v>
      </c>
      <c r="R58" s="147">
        <f t="shared" si="30"/>
        <v>0</v>
      </c>
      <c r="S58" s="275">
        <f t="shared" si="31"/>
      </c>
      <c r="T58" s="300">
        <f>SUM('表２１－２:表２１－３'!T58)</f>
        <v>0</v>
      </c>
      <c r="U58" s="300">
        <f>SUM('表２１－２:表２１－３'!U58)</f>
        <v>0</v>
      </c>
      <c r="V58" s="147">
        <f t="shared" si="32"/>
        <v>0</v>
      </c>
      <c r="W58" s="456">
        <f t="shared" si="33"/>
      </c>
      <c r="X58" s="124"/>
    </row>
    <row r="59" spans="1:24" ht="23.25" customHeight="1">
      <c r="A59" s="130"/>
      <c r="B59" s="127"/>
      <c r="C59" s="75" t="s">
        <v>320</v>
      </c>
      <c r="D59" s="296"/>
      <c r="E59" s="297"/>
      <c r="F59" s="298"/>
      <c r="G59" s="299"/>
      <c r="H59" s="283">
        <f>SUM('表２１－２:表２１－３'!H59)</f>
        <v>866720</v>
      </c>
      <c r="I59" s="284">
        <f>SUM('表２１－２:表２１－３'!I59)</f>
        <v>1473925</v>
      </c>
      <c r="J59" s="147">
        <f>I59-H59</f>
        <v>607205</v>
      </c>
      <c r="K59" s="275">
        <f t="shared" si="27"/>
        <v>70.05780413513014</v>
      </c>
      <c r="L59" s="283">
        <f>SUM('表２１－２:表２１－３'!L59)</f>
        <v>202376</v>
      </c>
      <c r="M59" s="284">
        <f>SUM('表２１－２:表２１－３'!M59)</f>
        <v>25608</v>
      </c>
      <c r="N59" s="147">
        <f>M59-L59</f>
        <v>-176768</v>
      </c>
      <c r="O59" s="275">
        <f t="shared" si="29"/>
        <v>-87.34632565126299</v>
      </c>
      <c r="P59" s="283">
        <f>SUM('表２１－２:表２１－３'!P59)</f>
        <v>510</v>
      </c>
      <c r="Q59" s="284">
        <f>SUM('表２１－２:表２１－３'!Q59)</f>
        <v>859</v>
      </c>
      <c r="R59" s="147">
        <f>Q59-P59</f>
        <v>349</v>
      </c>
      <c r="S59" s="275">
        <f t="shared" si="31"/>
        <v>68.43137254901961</v>
      </c>
      <c r="T59" s="300">
        <f>SUM('表２１－２:表２１－３'!T59)</f>
        <v>50871</v>
      </c>
      <c r="U59" s="300">
        <f>SUM('表２１－２:表２１－３'!U59)</f>
        <v>59101</v>
      </c>
      <c r="V59" s="147">
        <f>U59-T59</f>
        <v>8230</v>
      </c>
      <c r="W59" s="456">
        <f t="shared" si="33"/>
        <v>16.178176171099448</v>
      </c>
      <c r="X59" s="124"/>
    </row>
    <row r="60" spans="1:24" ht="23.25" customHeight="1">
      <c r="A60" s="130"/>
      <c r="B60" s="127"/>
      <c r="C60" s="75" t="s">
        <v>319</v>
      </c>
      <c r="D60" s="296"/>
      <c r="E60" s="297"/>
      <c r="F60" s="298"/>
      <c r="G60" s="299"/>
      <c r="H60" s="283">
        <f>SUM('表２１－２:表２１－３'!H60)</f>
        <v>0</v>
      </c>
      <c r="I60" s="284">
        <f>SUM('表２１－２:表２１－３'!I60)</f>
        <v>0</v>
      </c>
      <c r="J60" s="147">
        <f>I60-H60</f>
        <v>0</v>
      </c>
      <c r="K60" s="275">
        <f t="shared" si="27"/>
      </c>
      <c r="L60" s="283">
        <f>SUM('表２１－２:表２１－３'!L60)</f>
        <v>0</v>
      </c>
      <c r="M60" s="284">
        <f>SUM('表２１－２:表２１－３'!M60)</f>
        <v>0</v>
      </c>
      <c r="N60" s="147">
        <f>M60-L60</f>
        <v>0</v>
      </c>
      <c r="O60" s="275">
        <f t="shared" si="29"/>
      </c>
      <c r="P60" s="283">
        <f>SUM('表２１－２:表２１－３'!P60)</f>
        <v>0</v>
      </c>
      <c r="Q60" s="284">
        <f>SUM('表２１－２:表２１－３'!Q60)</f>
        <v>0</v>
      </c>
      <c r="R60" s="147">
        <f>Q60-P60</f>
        <v>0</v>
      </c>
      <c r="S60" s="275">
        <f t="shared" si="31"/>
      </c>
      <c r="T60" s="300">
        <f>SUM('表２１－２:表２１－３'!T60)</f>
        <v>0</v>
      </c>
      <c r="U60" s="300">
        <f>SUM('表２１－２:表２１－３'!U60)</f>
        <v>0</v>
      </c>
      <c r="V60" s="147">
        <f>U60-T60</f>
        <v>0</v>
      </c>
      <c r="W60" s="456">
        <f t="shared" si="33"/>
      </c>
      <c r="X60" s="124"/>
    </row>
    <row r="61" spans="1:24" ht="23.25" customHeight="1">
      <c r="A61" s="130"/>
      <c r="B61" s="127"/>
      <c r="C61" s="75"/>
      <c r="D61" s="272"/>
      <c r="E61" s="273"/>
      <c r="F61" s="244"/>
      <c r="G61" s="277"/>
      <c r="H61" s="272"/>
      <c r="I61" s="273"/>
      <c r="J61" s="147"/>
      <c r="K61" s="275"/>
      <c r="L61" s="286"/>
      <c r="M61" s="287"/>
      <c r="N61" s="147"/>
      <c r="O61" s="275"/>
      <c r="P61" s="286"/>
      <c r="Q61" s="287"/>
      <c r="R61" s="147"/>
      <c r="S61" s="275"/>
      <c r="T61" s="295"/>
      <c r="U61" s="295"/>
      <c r="V61" s="147"/>
      <c r="W61" s="456"/>
      <c r="X61" s="124"/>
    </row>
    <row r="62" spans="1:24" ht="23.25" customHeight="1">
      <c r="A62" s="130"/>
      <c r="B62" s="126" t="s">
        <v>272</v>
      </c>
      <c r="C62" s="74" t="s">
        <v>135</v>
      </c>
      <c r="D62" s="301">
        <f>SUM(D63:D72)</f>
        <v>24188</v>
      </c>
      <c r="E62" s="301">
        <f>SUM(E63:E72)</f>
        <v>12405</v>
      </c>
      <c r="F62" s="242">
        <f>E62-D62</f>
        <v>-11783</v>
      </c>
      <c r="G62" s="269">
        <f>_xlfn.IFERROR(F62/D62*100,"")</f>
        <v>-48.71423846535472</v>
      </c>
      <c r="H62" s="267">
        <f>SUM(H63:H72)</f>
        <v>13132645</v>
      </c>
      <c r="I62" s="268">
        <f>SUM(I63:I72)</f>
        <v>13129150</v>
      </c>
      <c r="J62" s="242">
        <f aca="true" t="shared" si="34" ref="J62:J72">I62-H62</f>
        <v>-3495</v>
      </c>
      <c r="K62" s="269">
        <f>_xlfn.IFERROR(J62/H62*100,"")</f>
        <v>-0.026613069948970676</v>
      </c>
      <c r="L62" s="267">
        <f>SUM(L63:L72)</f>
        <v>3134771</v>
      </c>
      <c r="M62" s="268">
        <f>SUM(M63:M72)</f>
        <v>2620242</v>
      </c>
      <c r="N62" s="242">
        <f aca="true" t="shared" si="35" ref="N62:N72">M62-L62</f>
        <v>-514529</v>
      </c>
      <c r="O62" s="269">
        <f>_xlfn.IFERROR(N62/L62*100,"")</f>
        <v>-16.413607245951937</v>
      </c>
      <c r="P62" s="267">
        <f>SUM(P63:P72)</f>
        <v>1463934</v>
      </c>
      <c r="Q62" s="268">
        <f>SUM(Q63:Q72)</f>
        <v>1658408</v>
      </c>
      <c r="R62" s="242">
        <f aca="true" t="shared" si="36" ref="R62:R72">Q62-P62</f>
        <v>194474</v>
      </c>
      <c r="S62" s="269">
        <f>_xlfn.IFERROR(R62/P62*100,"")</f>
        <v>13.28434205367182</v>
      </c>
      <c r="T62" s="301">
        <f>SUM('表２１－２:表２１－３'!T62)</f>
        <v>569071</v>
      </c>
      <c r="U62" s="301">
        <f>SUM('表２１－２:表２１－３'!U62)</f>
        <v>512584</v>
      </c>
      <c r="V62" s="242">
        <f>U62-T62</f>
        <v>-56487</v>
      </c>
      <c r="W62" s="455">
        <f>_xlfn.IFERROR(V62/T62*100,"")</f>
        <v>-9.926177928588874</v>
      </c>
      <c r="X62" s="459"/>
    </row>
    <row r="63" spans="1:24" ht="23.25" customHeight="1">
      <c r="A63" s="130"/>
      <c r="B63" s="127"/>
      <c r="C63" s="75" t="s">
        <v>187</v>
      </c>
      <c r="D63" s="300">
        <f>SUM('表２１－２:表２１－３'!D63)</f>
        <v>15757</v>
      </c>
      <c r="E63" s="300">
        <f>SUM('表２１－２:表２１－３'!E63)</f>
        <v>12135</v>
      </c>
      <c r="F63" s="147">
        <f aca="true" t="shared" si="37" ref="F63:F72">E63-D63</f>
        <v>-3622</v>
      </c>
      <c r="G63" s="275">
        <f aca="true" t="shared" si="38" ref="G63:G72">_xlfn.IFERROR(F63/D63*100,"")</f>
        <v>-22.98660912610268</v>
      </c>
      <c r="H63" s="283">
        <f>SUM('表２１－２:表２１－３'!H63)</f>
        <v>3776224</v>
      </c>
      <c r="I63" s="284">
        <f>SUM('表２１－２:表２１－３'!I63)</f>
        <v>3277202</v>
      </c>
      <c r="J63" s="147">
        <f t="shared" si="34"/>
        <v>-499022</v>
      </c>
      <c r="K63" s="275">
        <f aca="true" t="shared" si="39" ref="K63:K72">_xlfn.IFERROR(J63/H63*100,"")</f>
        <v>-13.214841068750157</v>
      </c>
      <c r="L63" s="283">
        <f>SUM('表２１－２:表２１－３'!L63)</f>
        <v>1069460</v>
      </c>
      <c r="M63" s="284">
        <f>SUM('表２１－２:表２１－３'!M63)</f>
        <v>955415</v>
      </c>
      <c r="N63" s="147">
        <f t="shared" si="35"/>
        <v>-114045</v>
      </c>
      <c r="O63" s="275">
        <f aca="true" t="shared" si="40" ref="O63:O74">_xlfn.IFERROR(N63/L63*100,"")</f>
        <v>-10.66379294223253</v>
      </c>
      <c r="P63" s="283">
        <f>SUM('表２１－２:表２１－３'!P63)</f>
        <v>358746</v>
      </c>
      <c r="Q63" s="284">
        <f>SUM('表２１－２:表２１－３'!Q63)</f>
        <v>410112</v>
      </c>
      <c r="R63" s="147">
        <f t="shared" si="36"/>
        <v>51366</v>
      </c>
      <c r="S63" s="275">
        <f aca="true" t="shared" si="41" ref="S63:S74">_xlfn.IFERROR(R63/P63*100,"")</f>
        <v>14.318208426017293</v>
      </c>
      <c r="T63" s="302"/>
      <c r="U63" s="302"/>
      <c r="V63" s="302"/>
      <c r="W63" s="456">
        <f aca="true" t="shared" si="42" ref="W63:W74">_xlfn.IFERROR(V63/T63*100,"")</f>
      </c>
      <c r="X63" s="124"/>
    </row>
    <row r="64" spans="1:24" ht="23.25" customHeight="1">
      <c r="A64" s="130"/>
      <c r="B64" s="127"/>
      <c r="C64" s="75" t="s">
        <v>188</v>
      </c>
      <c r="D64" s="300">
        <f>SUM('表２１－２:表２１－３'!D64)</f>
        <v>0</v>
      </c>
      <c r="E64" s="300">
        <f>SUM('表２１－２:表２１－３'!E64)</f>
        <v>0</v>
      </c>
      <c r="F64" s="147">
        <f t="shared" si="37"/>
        <v>0</v>
      </c>
      <c r="G64" s="275">
        <f t="shared" si="38"/>
      </c>
      <c r="H64" s="283">
        <f>SUM('表２１－２:表２１－３'!H64)</f>
        <v>1843102</v>
      </c>
      <c r="I64" s="284">
        <f>SUM('表２１－２:表２１－３'!I64)</f>
        <v>1945543</v>
      </c>
      <c r="J64" s="147">
        <f t="shared" si="34"/>
        <v>102441</v>
      </c>
      <c r="K64" s="275">
        <f t="shared" si="39"/>
        <v>5.558075461911495</v>
      </c>
      <c r="L64" s="283">
        <f>SUM('表２１－２:表２１－３'!L64)</f>
        <v>404800</v>
      </c>
      <c r="M64" s="284">
        <f>SUM('表２１－２:表２１－３'!M64)</f>
        <v>169887</v>
      </c>
      <c r="N64" s="147">
        <f t="shared" si="35"/>
        <v>-234913</v>
      </c>
      <c r="O64" s="275">
        <f t="shared" si="40"/>
        <v>-58.031867588932805</v>
      </c>
      <c r="P64" s="283">
        <f>SUM('表２１－２:表２１－３'!P64)</f>
        <v>144164</v>
      </c>
      <c r="Q64" s="284">
        <f>SUM('表２１－２:表２１－３'!Q64)</f>
        <v>260848</v>
      </c>
      <c r="R64" s="147">
        <f t="shared" si="36"/>
        <v>116684</v>
      </c>
      <c r="S64" s="275">
        <f t="shared" si="41"/>
        <v>80.93837573874198</v>
      </c>
      <c r="T64" s="302"/>
      <c r="U64" s="302"/>
      <c r="V64" s="302"/>
      <c r="W64" s="456">
        <f t="shared" si="42"/>
      </c>
      <c r="X64" s="124"/>
    </row>
    <row r="65" spans="1:24" ht="23.25" customHeight="1">
      <c r="A65" s="130"/>
      <c r="B65" s="127"/>
      <c r="C65" s="75" t="s">
        <v>189</v>
      </c>
      <c r="D65" s="300">
        <f>SUM('表２１－２:表２１－３'!D65)</f>
        <v>1183</v>
      </c>
      <c r="E65" s="300">
        <f>SUM('表２１－２:表２１－３'!E65)</f>
        <v>150</v>
      </c>
      <c r="F65" s="147">
        <f t="shared" si="37"/>
        <v>-1033</v>
      </c>
      <c r="G65" s="275">
        <f t="shared" si="38"/>
        <v>-87.32037193575654</v>
      </c>
      <c r="H65" s="283">
        <f>SUM('表２１－２:表２１－３'!H65)</f>
        <v>2324629</v>
      </c>
      <c r="I65" s="284">
        <f>SUM('表２１－２:表２１－３'!I65)</f>
        <v>2129129</v>
      </c>
      <c r="J65" s="147">
        <f t="shared" si="34"/>
        <v>-195500</v>
      </c>
      <c r="K65" s="275">
        <f t="shared" si="39"/>
        <v>-8.409944124417272</v>
      </c>
      <c r="L65" s="283">
        <f>SUM('表２１－２:表２１－３'!L65)</f>
        <v>232162</v>
      </c>
      <c r="M65" s="284">
        <f>SUM('表２１－２:表２１－３'!M65)</f>
        <v>299358</v>
      </c>
      <c r="N65" s="147">
        <f t="shared" si="35"/>
        <v>67196</v>
      </c>
      <c r="O65" s="275">
        <f t="shared" si="40"/>
        <v>28.943582498427823</v>
      </c>
      <c r="P65" s="283">
        <f>SUM('表２１－２:表２１－３'!P65)</f>
        <v>13705</v>
      </c>
      <c r="Q65" s="284">
        <f>SUM('表２１－２:表２１－３'!Q65)</f>
        <v>35108</v>
      </c>
      <c r="R65" s="147">
        <f t="shared" si="36"/>
        <v>21403</v>
      </c>
      <c r="S65" s="275">
        <f t="shared" si="41"/>
        <v>156.16928128420284</v>
      </c>
      <c r="T65" s="302"/>
      <c r="U65" s="302"/>
      <c r="V65" s="302"/>
      <c r="W65" s="456">
        <f t="shared" si="42"/>
      </c>
      <c r="X65" s="124"/>
    </row>
    <row r="66" spans="1:24" ht="23.25" customHeight="1">
      <c r="A66" s="130"/>
      <c r="B66" s="127"/>
      <c r="C66" s="75" t="s">
        <v>190</v>
      </c>
      <c r="D66" s="300">
        <f>SUM('表２１－２:表２１－３'!D66)</f>
        <v>0</v>
      </c>
      <c r="E66" s="300">
        <f>SUM('表２１－２:表２１－３'!E66)</f>
        <v>0</v>
      </c>
      <c r="F66" s="147">
        <f t="shared" si="37"/>
        <v>0</v>
      </c>
      <c r="G66" s="275">
        <f t="shared" si="38"/>
      </c>
      <c r="H66" s="283">
        <f>SUM('表２１－２:表２１－３'!H66)</f>
        <v>1719412</v>
      </c>
      <c r="I66" s="284">
        <f>SUM('表２１－２:表２１－３'!I66)</f>
        <v>1867900</v>
      </c>
      <c r="J66" s="147">
        <f t="shared" si="34"/>
        <v>148488</v>
      </c>
      <c r="K66" s="275">
        <f t="shared" si="39"/>
        <v>8.635975554433726</v>
      </c>
      <c r="L66" s="283">
        <f>SUM('表２１－２:表２１－３'!L66)</f>
        <v>827075</v>
      </c>
      <c r="M66" s="284">
        <f>SUM('表２１－２:表２１－３'!M66)</f>
        <v>531640</v>
      </c>
      <c r="N66" s="147">
        <f t="shared" si="35"/>
        <v>-295435</v>
      </c>
      <c r="O66" s="275">
        <f t="shared" si="40"/>
        <v>-35.72046065955325</v>
      </c>
      <c r="P66" s="283">
        <f>SUM('表２１－２:表２１－３'!P66)</f>
        <v>838651</v>
      </c>
      <c r="Q66" s="284">
        <f>SUM('表２１－２:表２１－３'!Q66)</f>
        <v>845214</v>
      </c>
      <c r="R66" s="147">
        <f t="shared" si="36"/>
        <v>6563</v>
      </c>
      <c r="S66" s="275">
        <f t="shared" si="41"/>
        <v>0.7825662880029952</v>
      </c>
      <c r="T66" s="302"/>
      <c r="U66" s="302"/>
      <c r="V66" s="302"/>
      <c r="W66" s="456">
        <f t="shared" si="42"/>
      </c>
      <c r="X66" s="124"/>
    </row>
    <row r="67" spans="1:24" ht="23.25" customHeight="1">
      <c r="A67" s="130"/>
      <c r="B67" s="127"/>
      <c r="C67" s="75" t="s">
        <v>191</v>
      </c>
      <c r="D67" s="300">
        <f>SUM('表２１－２:表２１－３'!D67)</f>
        <v>0</v>
      </c>
      <c r="E67" s="300">
        <f>SUM('表２１－２:表２１－３'!E67)</f>
        <v>0</v>
      </c>
      <c r="F67" s="147">
        <f t="shared" si="37"/>
        <v>0</v>
      </c>
      <c r="G67" s="275">
        <f t="shared" si="38"/>
      </c>
      <c r="H67" s="283">
        <f>SUM('表２１－２:表２１－３'!H67)</f>
        <v>279044</v>
      </c>
      <c r="I67" s="284">
        <f>SUM('表２１－２:表２１－３'!I67)</f>
        <v>277567</v>
      </c>
      <c r="J67" s="147">
        <f t="shared" si="34"/>
        <v>-1477</v>
      </c>
      <c r="K67" s="275">
        <f t="shared" si="39"/>
        <v>-0.5293072060320236</v>
      </c>
      <c r="L67" s="283">
        <f>SUM('表２１－２:表２１－３'!L67)</f>
        <v>3267</v>
      </c>
      <c r="M67" s="284">
        <f>SUM('表２１－２:表２１－３'!M67)</f>
        <v>9854</v>
      </c>
      <c r="N67" s="147">
        <f t="shared" si="35"/>
        <v>6587</v>
      </c>
      <c r="O67" s="275">
        <f t="shared" si="40"/>
        <v>201.62228344046525</v>
      </c>
      <c r="P67" s="283">
        <f>SUM('表２１－２:表２１－３'!P67)</f>
        <v>8458</v>
      </c>
      <c r="Q67" s="284">
        <f>SUM('表２１－２:表２１－３'!Q67)</f>
        <v>4393</v>
      </c>
      <c r="R67" s="147">
        <f t="shared" si="36"/>
        <v>-4065</v>
      </c>
      <c r="S67" s="275">
        <f t="shared" si="41"/>
        <v>-48.06100733033814</v>
      </c>
      <c r="T67" s="302"/>
      <c r="U67" s="302"/>
      <c r="V67" s="302"/>
      <c r="W67" s="456">
        <f t="shared" si="42"/>
      </c>
      <c r="X67" s="124"/>
    </row>
    <row r="68" spans="1:24" ht="23.25" customHeight="1">
      <c r="A68" s="130"/>
      <c r="B68" s="127"/>
      <c r="C68" s="75" t="s">
        <v>192</v>
      </c>
      <c r="D68" s="300">
        <f>SUM('表２１－２:表２１－３'!D68)</f>
        <v>0</v>
      </c>
      <c r="E68" s="300">
        <f>SUM('表２１－２:表２１－３'!E68)</f>
        <v>0</v>
      </c>
      <c r="F68" s="147">
        <f t="shared" si="37"/>
        <v>0</v>
      </c>
      <c r="G68" s="275">
        <f t="shared" si="38"/>
      </c>
      <c r="H68" s="283">
        <f>SUM('表２１－２:表２１－３'!H68)</f>
        <v>0</v>
      </c>
      <c r="I68" s="284">
        <f>SUM('表２１－２:表２１－３'!I68)</f>
        <v>0</v>
      </c>
      <c r="J68" s="147">
        <f t="shared" si="34"/>
        <v>0</v>
      </c>
      <c r="K68" s="275">
        <f t="shared" si="39"/>
      </c>
      <c r="L68" s="283">
        <f>SUM('表２１－２:表２１－３'!L68)</f>
        <v>0</v>
      </c>
      <c r="M68" s="284">
        <f>SUM('表２１－２:表２１－３'!M68)</f>
        <v>0</v>
      </c>
      <c r="N68" s="147">
        <f t="shared" si="35"/>
        <v>0</v>
      </c>
      <c r="O68" s="275">
        <f t="shared" si="40"/>
      </c>
      <c r="P68" s="283">
        <f>SUM('表２１－２:表２１－３'!P68)</f>
        <v>0</v>
      </c>
      <c r="Q68" s="284">
        <f>SUM('表２１－２:表２１－３'!Q68)</f>
        <v>0</v>
      </c>
      <c r="R68" s="147">
        <f t="shared" si="36"/>
        <v>0</v>
      </c>
      <c r="S68" s="275">
        <f t="shared" si="41"/>
      </c>
      <c r="T68" s="302"/>
      <c r="U68" s="302"/>
      <c r="V68" s="302"/>
      <c r="W68" s="456">
        <f t="shared" si="42"/>
      </c>
      <c r="X68" s="124"/>
    </row>
    <row r="69" spans="1:24" ht="23.25" customHeight="1">
      <c r="A69" s="130"/>
      <c r="B69" s="127"/>
      <c r="C69" s="75" t="s">
        <v>193</v>
      </c>
      <c r="D69" s="300">
        <f>SUM('表２１－２:表２１－３'!D69)</f>
        <v>7248</v>
      </c>
      <c r="E69" s="300">
        <f>SUM('表２１－２:表２１－３'!E69)</f>
        <v>120</v>
      </c>
      <c r="F69" s="147">
        <f t="shared" si="37"/>
        <v>-7128</v>
      </c>
      <c r="G69" s="275">
        <f t="shared" si="38"/>
        <v>-98.34437086092716</v>
      </c>
      <c r="H69" s="283">
        <f>SUM('表２１－２:表２１－３'!H69)</f>
        <v>665413</v>
      </c>
      <c r="I69" s="284">
        <f>SUM('表２１－２:表２１－３'!I69)</f>
        <v>683281</v>
      </c>
      <c r="J69" s="147">
        <f t="shared" si="34"/>
        <v>17868</v>
      </c>
      <c r="K69" s="275">
        <f t="shared" si="39"/>
        <v>2.685249611895169</v>
      </c>
      <c r="L69" s="283">
        <f>SUM('表２１－２:表２１－３'!L69)</f>
        <v>297586</v>
      </c>
      <c r="M69" s="284">
        <f>SUM('表２１－２:表２１－３'!M69)</f>
        <v>158286</v>
      </c>
      <c r="N69" s="147">
        <f t="shared" si="35"/>
        <v>-139300</v>
      </c>
      <c r="O69" s="275">
        <f t="shared" si="40"/>
        <v>-46.80999778215373</v>
      </c>
      <c r="P69" s="283">
        <f>SUM('表２１－２:表２１－３'!P69)</f>
        <v>61811</v>
      </c>
      <c r="Q69" s="284">
        <f>SUM('表２１－２:表２１－３'!Q69)</f>
        <v>36290</v>
      </c>
      <c r="R69" s="147">
        <f t="shared" si="36"/>
        <v>-25521</v>
      </c>
      <c r="S69" s="275">
        <f t="shared" si="41"/>
        <v>-41.288767371503454</v>
      </c>
      <c r="T69" s="302"/>
      <c r="U69" s="302"/>
      <c r="V69" s="302"/>
      <c r="W69" s="456">
        <f t="shared" si="42"/>
      </c>
      <c r="X69" s="124"/>
    </row>
    <row r="70" spans="1:24" ht="23.25" customHeight="1">
      <c r="A70" s="130"/>
      <c r="B70" s="127"/>
      <c r="C70" s="75" t="s">
        <v>194</v>
      </c>
      <c r="D70" s="300">
        <f>SUM('表２１－２:表２１－３'!D70)</f>
        <v>0</v>
      </c>
      <c r="E70" s="300">
        <f>SUM('表２１－２:表２１－３'!E70)</f>
        <v>0</v>
      </c>
      <c r="F70" s="147">
        <f t="shared" si="37"/>
        <v>0</v>
      </c>
      <c r="G70" s="275">
        <f t="shared" si="38"/>
      </c>
      <c r="H70" s="283">
        <f>SUM('表２１－２:表２１－３'!H70)</f>
        <v>711926</v>
      </c>
      <c r="I70" s="284">
        <f>SUM('表２１－２:表２１－３'!I70)</f>
        <v>838345</v>
      </c>
      <c r="J70" s="147">
        <f t="shared" si="34"/>
        <v>126419</v>
      </c>
      <c r="K70" s="275">
        <f t="shared" si="39"/>
        <v>17.757323092568612</v>
      </c>
      <c r="L70" s="283">
        <f>SUM('表２１－２:表２１－３'!L70)</f>
        <v>140698</v>
      </c>
      <c r="M70" s="284">
        <f>SUM('表２１－２:表２１－３'!M70)</f>
        <v>272784</v>
      </c>
      <c r="N70" s="147">
        <f t="shared" si="35"/>
        <v>132086</v>
      </c>
      <c r="O70" s="275">
        <f t="shared" si="40"/>
        <v>93.87908854425791</v>
      </c>
      <c r="P70" s="283">
        <f>SUM('表２１－２:表２１－３'!P70)</f>
        <v>15325</v>
      </c>
      <c r="Q70" s="284">
        <f>SUM('表２１－２:表２１－３'!Q70)</f>
        <v>51425</v>
      </c>
      <c r="R70" s="147">
        <f t="shared" si="36"/>
        <v>36100</v>
      </c>
      <c r="S70" s="275">
        <f t="shared" si="41"/>
        <v>235.56280587275694</v>
      </c>
      <c r="T70" s="302"/>
      <c r="U70" s="302"/>
      <c r="V70" s="302"/>
      <c r="W70" s="456">
        <f t="shared" si="42"/>
      </c>
      <c r="X70" s="124"/>
    </row>
    <row r="71" spans="1:24" ht="23.25" customHeight="1">
      <c r="A71" s="130"/>
      <c r="B71" s="127"/>
      <c r="C71" s="76" t="s">
        <v>195</v>
      </c>
      <c r="D71" s="300">
        <f>SUM('表２１－２:表２１－３'!D71)</f>
        <v>0</v>
      </c>
      <c r="E71" s="300">
        <f>SUM('表２１－２:表２１－３'!E71)</f>
        <v>0</v>
      </c>
      <c r="F71" s="147">
        <f t="shared" si="37"/>
        <v>0</v>
      </c>
      <c r="G71" s="275">
        <f t="shared" si="38"/>
      </c>
      <c r="H71" s="283">
        <f>SUM('表２１－２:表２１－３'!H71)</f>
        <v>1154272</v>
      </c>
      <c r="I71" s="284">
        <f>SUM('表２１－２:表２１－３'!I71)</f>
        <v>1271371</v>
      </c>
      <c r="J71" s="147">
        <f t="shared" si="34"/>
        <v>117099</v>
      </c>
      <c r="K71" s="275">
        <f t="shared" si="39"/>
        <v>10.144835879238169</v>
      </c>
      <c r="L71" s="283">
        <f>SUM('表２１－２:表２１－３'!L71)</f>
        <v>63638</v>
      </c>
      <c r="M71" s="284">
        <f>SUM('表２１－２:表２１－３'!M71)</f>
        <v>47571</v>
      </c>
      <c r="N71" s="147">
        <f t="shared" si="35"/>
        <v>-16067</v>
      </c>
      <c r="O71" s="275">
        <f t="shared" si="40"/>
        <v>-25.247493635877934</v>
      </c>
      <c r="P71" s="283">
        <f>SUM('表２１－２:表２１－３'!P71)</f>
        <v>43</v>
      </c>
      <c r="Q71" s="284">
        <f>SUM('表２１－２:表２１－３'!Q71)</f>
        <v>0</v>
      </c>
      <c r="R71" s="147">
        <f t="shared" si="36"/>
        <v>-43</v>
      </c>
      <c r="S71" s="275">
        <f t="shared" si="41"/>
        <v>-100</v>
      </c>
      <c r="T71" s="302"/>
      <c r="U71" s="302"/>
      <c r="V71" s="302"/>
      <c r="W71" s="456">
        <f t="shared" si="42"/>
      </c>
      <c r="X71" s="124"/>
    </row>
    <row r="72" spans="1:24" ht="23.25" customHeight="1">
      <c r="A72" s="130"/>
      <c r="B72" s="127"/>
      <c r="C72" s="75" t="s">
        <v>196</v>
      </c>
      <c r="D72" s="300">
        <f>SUM('表２１－２:表２１－３'!D72)</f>
        <v>0</v>
      </c>
      <c r="E72" s="300">
        <f>SUM('表２１－２:表２１－３'!E72)</f>
        <v>0</v>
      </c>
      <c r="F72" s="147">
        <f t="shared" si="37"/>
        <v>0</v>
      </c>
      <c r="G72" s="275">
        <f t="shared" si="38"/>
      </c>
      <c r="H72" s="283">
        <f>SUM('表２１－２:表２１－３'!H72)</f>
        <v>658623</v>
      </c>
      <c r="I72" s="284">
        <f>SUM('表２１－２:表２１－３'!I72)</f>
        <v>838812</v>
      </c>
      <c r="J72" s="147">
        <f t="shared" si="34"/>
        <v>180189</v>
      </c>
      <c r="K72" s="275">
        <f t="shared" si="39"/>
        <v>27.35844329760728</v>
      </c>
      <c r="L72" s="283">
        <f>SUM('表２１－２:表２１－３'!L72)</f>
        <v>96085</v>
      </c>
      <c r="M72" s="284">
        <f>SUM('表２１－２:表２１－３'!M72)</f>
        <v>175447</v>
      </c>
      <c r="N72" s="147">
        <f t="shared" si="35"/>
        <v>79362</v>
      </c>
      <c r="O72" s="275">
        <f t="shared" si="40"/>
        <v>82.59561846281937</v>
      </c>
      <c r="P72" s="283">
        <f>SUM('表２１－２:表２１－３'!P72)</f>
        <v>23031</v>
      </c>
      <c r="Q72" s="284">
        <f>SUM('表２１－２:表２１－３'!Q72)</f>
        <v>15018</v>
      </c>
      <c r="R72" s="147">
        <f t="shared" si="36"/>
        <v>-8013</v>
      </c>
      <c r="S72" s="275">
        <f t="shared" si="41"/>
        <v>-34.792236550735964</v>
      </c>
      <c r="T72" s="302"/>
      <c r="U72" s="302"/>
      <c r="V72" s="302"/>
      <c r="W72" s="456">
        <f t="shared" si="42"/>
      </c>
      <c r="X72" s="124"/>
    </row>
    <row r="73" spans="1:24" ht="23.25" customHeight="1">
      <c r="A73" s="130"/>
      <c r="B73" s="127"/>
      <c r="C73" s="75"/>
      <c r="D73" s="276"/>
      <c r="E73" s="276"/>
      <c r="F73" s="244"/>
      <c r="G73" s="277"/>
      <c r="H73" s="272"/>
      <c r="I73" s="273"/>
      <c r="J73" s="147"/>
      <c r="K73" s="275"/>
      <c r="L73" s="286"/>
      <c r="M73" s="287"/>
      <c r="N73" s="147"/>
      <c r="O73" s="275"/>
      <c r="P73" s="286"/>
      <c r="Q73" s="287"/>
      <c r="R73" s="147"/>
      <c r="S73" s="275"/>
      <c r="T73" s="295"/>
      <c r="U73" s="295"/>
      <c r="V73" s="303"/>
      <c r="W73" s="456"/>
      <c r="X73" s="124"/>
    </row>
    <row r="74" spans="1:24" ht="23.25" customHeight="1">
      <c r="A74" s="130"/>
      <c r="B74" s="126" t="s">
        <v>273</v>
      </c>
      <c r="C74" s="74" t="s">
        <v>135</v>
      </c>
      <c r="D74" s="302"/>
      <c r="E74" s="302"/>
      <c r="F74" s="304"/>
      <c r="G74" s="305"/>
      <c r="H74" s="267">
        <f>SUM('表２１－２:表２１－３'!H74)</f>
        <v>11767638</v>
      </c>
      <c r="I74" s="268">
        <f>SUM('表２１－２:表２１－３'!I74)</f>
        <v>12056253</v>
      </c>
      <c r="J74" s="242">
        <f>I74-H74</f>
        <v>288615</v>
      </c>
      <c r="K74" s="269">
        <f>_xlfn.IFERROR(J74/H74*100,"")</f>
        <v>2.4526162344558866</v>
      </c>
      <c r="L74" s="267">
        <f>SUM('表２１－２:表２１－３'!L74)</f>
        <v>180572</v>
      </c>
      <c r="M74" s="268">
        <f>SUM('表２１－２:表２１－３'!M74)</f>
        <v>100690</v>
      </c>
      <c r="N74" s="242">
        <f>M74-L74</f>
        <v>-79882</v>
      </c>
      <c r="O74" s="269">
        <f t="shared" si="40"/>
        <v>-44.23830937243869</v>
      </c>
      <c r="P74" s="267">
        <f>SUM('表２１－２:表２１－３'!P74)</f>
        <v>19033</v>
      </c>
      <c r="Q74" s="268">
        <f>SUM('表２１－２:表２１－３'!Q74)</f>
        <v>2684</v>
      </c>
      <c r="R74" s="242">
        <f>Q74-P74</f>
        <v>-16349</v>
      </c>
      <c r="S74" s="269">
        <f t="shared" si="41"/>
        <v>-85.89817685073294</v>
      </c>
      <c r="T74" s="301">
        <f>SUM('表２１－２:表２１－３'!T74)</f>
        <v>486364</v>
      </c>
      <c r="U74" s="301">
        <f>SUM('表２１－２:表２１－３'!U74)</f>
        <v>486934</v>
      </c>
      <c r="V74" s="242">
        <f>U74-T74</f>
        <v>570</v>
      </c>
      <c r="W74" s="455">
        <f t="shared" si="42"/>
        <v>0.11719617405893529</v>
      </c>
      <c r="X74" s="124"/>
    </row>
    <row r="75" spans="1:24" ht="23.25" customHeight="1" thickBot="1">
      <c r="A75" s="132"/>
      <c r="B75" s="82"/>
      <c r="C75" s="77"/>
      <c r="D75" s="306"/>
      <c r="E75" s="306"/>
      <c r="F75" s="148"/>
      <c r="G75" s="290"/>
      <c r="H75" s="288"/>
      <c r="I75" s="289"/>
      <c r="J75" s="148"/>
      <c r="K75" s="290"/>
      <c r="L75" s="288"/>
      <c r="M75" s="289"/>
      <c r="N75" s="148"/>
      <c r="O75" s="290"/>
      <c r="P75" s="288"/>
      <c r="Q75" s="289"/>
      <c r="R75" s="148"/>
      <c r="S75" s="290"/>
      <c r="T75" s="306"/>
      <c r="U75" s="306"/>
      <c r="V75" s="148"/>
      <c r="W75" s="457"/>
      <c r="X75" s="124"/>
    </row>
    <row r="76" spans="1:3" ht="13.5" customHeight="1">
      <c r="A76" s="78"/>
      <c r="B76" s="78"/>
      <c r="C76" s="78"/>
    </row>
  </sheetData>
  <sheetProtection/>
  <mergeCells count="13">
    <mergeCell ref="U42:U43"/>
    <mergeCell ref="V42:V43"/>
    <mergeCell ref="W42:W43"/>
    <mergeCell ref="X5:AA5"/>
    <mergeCell ref="T42:T43"/>
    <mergeCell ref="A41:C43"/>
    <mergeCell ref="A4:C6"/>
    <mergeCell ref="D4:G5"/>
    <mergeCell ref="H4:AA4"/>
    <mergeCell ref="H5:K5"/>
    <mergeCell ref="L5:O5"/>
    <mergeCell ref="P5:S5"/>
    <mergeCell ref="T5:W5"/>
  </mergeCells>
  <printOptions/>
  <pageMargins left="0.76" right="0.21" top="0.984251968503937" bottom="0.55" header="0.51" footer="0.5118110236220472"/>
  <pageSetup fitToHeight="1" fitToWidth="1" horizontalDpi="300" verticalDpi="300" orientation="landscape" paperSize="8" scale="46" r:id="rId1"/>
</worksheet>
</file>

<file path=xl/worksheets/sheet22.xml><?xml version="1.0" encoding="utf-8"?>
<worksheet xmlns="http://schemas.openxmlformats.org/spreadsheetml/2006/main" xmlns:r="http://schemas.openxmlformats.org/officeDocument/2006/relationships">
  <sheetPr>
    <pageSetUpPr fitToPage="1"/>
  </sheetPr>
  <dimension ref="A2:AB76"/>
  <sheetViews>
    <sheetView zoomScale="48" zoomScaleNormal="48" zoomScalePageLayoutView="0" workbookViewId="0" topLeftCell="A1">
      <selection activeCell="I15" sqref="I15"/>
    </sheetView>
  </sheetViews>
  <sheetFormatPr defaultColWidth="9.00390625" defaultRowHeight="13.5"/>
  <cols>
    <col min="1" max="1" width="4.00390625" style="0" customWidth="1"/>
    <col min="2" max="2" width="13.875" style="0" customWidth="1"/>
    <col min="3" max="3" width="34.875" style="0" customWidth="1"/>
    <col min="4" max="5" width="18.25390625" style="0" customWidth="1"/>
    <col min="6" max="6" width="17.50390625" style="0" customWidth="1"/>
    <col min="7" max="7" width="11.50390625" style="0" customWidth="1"/>
    <col min="8" max="10" width="15.625" style="0" customWidth="1"/>
    <col min="11" max="11" width="12.25390625" style="0" bestFit="1" customWidth="1"/>
    <col min="12" max="13" width="15.625" style="0" customWidth="1"/>
    <col min="14" max="14" width="17.50390625" style="0" customWidth="1"/>
    <col min="15" max="15" width="12.25390625" style="0" bestFit="1" customWidth="1"/>
    <col min="16" max="17" width="15.625" style="0" customWidth="1"/>
    <col min="18" max="18" width="17.25390625" style="0" customWidth="1"/>
    <col min="19" max="19" width="12.25390625" style="0" bestFit="1" customWidth="1"/>
    <col min="20" max="21" width="15.50390625" style="0" customWidth="1"/>
    <col min="22" max="22" width="17.25390625" style="0" customWidth="1"/>
    <col min="23" max="23" width="12.25390625" style="0" customWidth="1"/>
    <col min="24" max="25" width="15.625" style="0" customWidth="1"/>
    <col min="26" max="26" width="16.00390625" style="0" customWidth="1"/>
    <col min="27" max="27" width="11.75390625" style="0" customWidth="1"/>
  </cols>
  <sheetData>
    <row r="2" spans="2:26" ht="42">
      <c r="B2" s="62" t="s">
        <v>311</v>
      </c>
      <c r="L2" s="63"/>
      <c r="T2" s="63" t="s">
        <v>201</v>
      </c>
      <c r="Z2" s="183" t="s">
        <v>58</v>
      </c>
    </row>
    <row r="3" ht="14.25" thickBot="1"/>
    <row r="4" spans="1:27" s="64" customFormat="1" ht="24" customHeight="1">
      <c r="A4" s="1175" t="s">
        <v>165</v>
      </c>
      <c r="B4" s="1176"/>
      <c r="C4" s="1177"/>
      <c r="D4" s="65"/>
      <c r="E4" s="1203" t="s">
        <v>202</v>
      </c>
      <c r="F4" s="1203" t="s">
        <v>203</v>
      </c>
      <c r="G4" s="83"/>
      <c r="H4" s="84" t="s">
        <v>204</v>
      </c>
      <c r="I4" s="85"/>
      <c r="J4" s="85"/>
      <c r="K4" s="85"/>
      <c r="L4" s="84"/>
      <c r="M4" s="85"/>
      <c r="N4" s="85"/>
      <c r="O4" s="85"/>
      <c r="P4" s="86"/>
      <c r="Q4" s="85"/>
      <c r="R4" s="85"/>
      <c r="S4" s="85"/>
      <c r="T4" s="84"/>
      <c r="U4" s="85"/>
      <c r="V4" s="85"/>
      <c r="W4" s="85"/>
      <c r="X4" s="86"/>
      <c r="Y4" s="85"/>
      <c r="Z4" s="85"/>
      <c r="AA4" s="133"/>
    </row>
    <row r="5" spans="1:27" s="64" customFormat="1" ht="24" customHeight="1">
      <c r="A5" s="1178"/>
      <c r="B5" s="1179"/>
      <c r="C5" s="1180"/>
      <c r="D5" s="66"/>
      <c r="E5" s="1204"/>
      <c r="F5" s="1204"/>
      <c r="G5" s="87"/>
      <c r="H5" s="88" t="s">
        <v>248</v>
      </c>
      <c r="I5" s="89"/>
      <c r="J5" s="89"/>
      <c r="K5" s="89"/>
      <c r="L5" s="88" t="s">
        <v>300</v>
      </c>
      <c r="M5" s="89"/>
      <c r="N5" s="89"/>
      <c r="O5" s="89"/>
      <c r="P5" s="88" t="s">
        <v>249</v>
      </c>
      <c r="Q5" s="89"/>
      <c r="R5" s="89"/>
      <c r="S5" s="89"/>
      <c r="T5" s="88" t="s">
        <v>206</v>
      </c>
      <c r="U5" s="89"/>
      <c r="V5" s="89"/>
      <c r="W5" s="89"/>
      <c r="X5" s="88" t="s">
        <v>254</v>
      </c>
      <c r="Y5" s="89"/>
      <c r="Z5" s="89"/>
      <c r="AA5" s="134"/>
    </row>
    <row r="6" spans="1:27" s="64" customFormat="1" ht="24" customHeight="1">
      <c r="A6" s="1181"/>
      <c r="B6" s="1182"/>
      <c r="C6" s="1183"/>
      <c r="D6" s="70" t="s">
        <v>174</v>
      </c>
      <c r="E6" s="67" t="s">
        <v>170</v>
      </c>
      <c r="F6" s="67" t="s">
        <v>171</v>
      </c>
      <c r="G6" s="68" t="s">
        <v>172</v>
      </c>
      <c r="H6" s="70" t="s">
        <v>174</v>
      </c>
      <c r="I6" s="69" t="s">
        <v>170</v>
      </c>
      <c r="J6" s="67" t="s">
        <v>173</v>
      </c>
      <c r="K6" s="68" t="s">
        <v>172</v>
      </c>
      <c r="L6" s="70" t="s">
        <v>174</v>
      </c>
      <c r="M6" s="69" t="s">
        <v>170</v>
      </c>
      <c r="N6" s="67" t="s">
        <v>173</v>
      </c>
      <c r="O6" s="68" t="s">
        <v>172</v>
      </c>
      <c r="P6" s="70" t="s">
        <v>174</v>
      </c>
      <c r="Q6" s="69" t="s">
        <v>170</v>
      </c>
      <c r="R6" s="67" t="s">
        <v>173</v>
      </c>
      <c r="S6" s="68" t="s">
        <v>172</v>
      </c>
      <c r="T6" s="70" t="s">
        <v>174</v>
      </c>
      <c r="U6" s="69" t="s">
        <v>170</v>
      </c>
      <c r="V6" s="67" t="s">
        <v>173</v>
      </c>
      <c r="W6" s="68" t="s">
        <v>172</v>
      </c>
      <c r="X6" s="70" t="s">
        <v>174</v>
      </c>
      <c r="Y6" s="69" t="s">
        <v>170</v>
      </c>
      <c r="Z6" s="67" t="s">
        <v>173</v>
      </c>
      <c r="AA6" s="135" t="s">
        <v>172</v>
      </c>
    </row>
    <row r="7" spans="1:27" ht="23.25" customHeight="1">
      <c r="A7" s="124"/>
      <c r="B7" s="71"/>
      <c r="C7" s="72"/>
      <c r="D7" s="308"/>
      <c r="E7" s="309"/>
      <c r="F7" s="261"/>
      <c r="G7" s="262"/>
      <c r="H7" s="310"/>
      <c r="I7" s="311"/>
      <c r="J7" s="264"/>
      <c r="K7" s="265"/>
      <c r="L7" s="310"/>
      <c r="M7" s="311"/>
      <c r="N7" s="261"/>
      <c r="O7" s="262"/>
      <c r="P7" s="259"/>
      <c r="Q7" s="312"/>
      <c r="R7" s="264"/>
      <c r="S7" s="262"/>
      <c r="T7" s="310"/>
      <c r="U7" s="311"/>
      <c r="V7" s="264"/>
      <c r="W7" s="262"/>
      <c r="X7" s="259"/>
      <c r="Y7" s="260"/>
      <c r="Z7" s="313"/>
      <c r="AA7" s="266"/>
    </row>
    <row r="8" spans="1:27" s="73" customFormat="1" ht="23.25" customHeight="1">
      <c r="A8" s="129" t="s">
        <v>175</v>
      </c>
      <c r="B8" s="126"/>
      <c r="C8" s="74"/>
      <c r="D8" s="267">
        <f>D10+D25+D37</f>
        <v>50942801</v>
      </c>
      <c r="E8" s="268">
        <f>E10+E25+E37</f>
        <v>54012306</v>
      </c>
      <c r="F8" s="242">
        <f>E8-D8</f>
        <v>3069505</v>
      </c>
      <c r="G8" s="269">
        <f>_xlfn.IFERROR(F8/D8*100,"")</f>
        <v>6.025395030791495</v>
      </c>
      <c r="H8" s="267">
        <f>H10+H25+H37</f>
        <v>1974420</v>
      </c>
      <c r="I8" s="268">
        <f>I10+I25+I37</f>
        <v>2402954</v>
      </c>
      <c r="J8" s="242">
        <f>I8-H8</f>
        <v>428534</v>
      </c>
      <c r="K8" s="269">
        <f>_xlfn.IFERROR(J8/H8*100,"")</f>
        <v>21.704297971049726</v>
      </c>
      <c r="L8" s="267">
        <f>L10+L25+L37</f>
        <v>48882381</v>
      </c>
      <c r="M8" s="268">
        <f>M10+M25+M37</f>
        <v>50683057</v>
      </c>
      <c r="N8" s="242">
        <f>M8-L8</f>
        <v>1800676</v>
      </c>
      <c r="O8" s="269">
        <f>_xlfn.IFERROR(N8/L8*100,"")</f>
        <v>3.683691267002726</v>
      </c>
      <c r="P8" s="267">
        <f>P10+P25+P37</f>
        <v>0</v>
      </c>
      <c r="Q8" s="268">
        <f>Q10+Q25+Q37</f>
        <v>0</v>
      </c>
      <c r="R8" s="242">
        <f>Q8-P8</f>
        <v>0</v>
      </c>
      <c r="S8" s="269">
        <f>_xlfn.IFERROR(R8/P8*100,"")</f>
      </c>
      <c r="T8" s="267">
        <f>T10+T25+T37</f>
        <v>86000</v>
      </c>
      <c r="U8" s="268">
        <f>U10+U25+U37</f>
        <v>910000</v>
      </c>
      <c r="V8" s="242">
        <f>U8-T8</f>
        <v>824000</v>
      </c>
      <c r="W8" s="269">
        <f>_xlfn.IFERROR(V8/T8*100,"")</f>
        <v>958.1395348837209</v>
      </c>
      <c r="X8" s="267">
        <f>X10+X25+X37</f>
        <v>0</v>
      </c>
      <c r="Y8" s="268">
        <f>Y10+Y25+Y37</f>
        <v>16295</v>
      </c>
      <c r="Z8" s="270">
        <f>Y8-X8</f>
        <v>16295</v>
      </c>
      <c r="AA8" s="271">
        <f>_xlfn.IFERROR(Z8/X8*100,"")</f>
      </c>
    </row>
    <row r="9" spans="1:27" s="73" customFormat="1" ht="23.25" customHeight="1">
      <c r="A9" s="130"/>
      <c r="B9" s="127"/>
      <c r="C9" s="75"/>
      <c r="D9" s="314"/>
      <c r="E9" s="315"/>
      <c r="F9" s="147"/>
      <c r="G9" s="274"/>
      <c r="H9" s="316"/>
      <c r="I9" s="317"/>
      <c r="J9" s="147"/>
      <c r="K9" s="275"/>
      <c r="L9" s="316"/>
      <c r="M9" s="317"/>
      <c r="N9" s="147"/>
      <c r="O9" s="277"/>
      <c r="P9" s="272"/>
      <c r="Q9" s="318"/>
      <c r="R9" s="147"/>
      <c r="S9" s="277"/>
      <c r="T9" s="316"/>
      <c r="U9" s="317"/>
      <c r="V9" s="147"/>
      <c r="W9" s="277"/>
      <c r="X9" s="272"/>
      <c r="Y9" s="273"/>
      <c r="Z9" s="319"/>
      <c r="AA9" s="462"/>
    </row>
    <row r="10" spans="1:27" s="73" customFormat="1" ht="23.25" customHeight="1">
      <c r="A10" s="130"/>
      <c r="B10" s="126" t="s">
        <v>176</v>
      </c>
      <c r="C10" s="74" t="s">
        <v>135</v>
      </c>
      <c r="D10" s="267">
        <f>H10+L10+P10+T10+X10</f>
        <v>44656647</v>
      </c>
      <c r="E10" s="268">
        <f>SUM(E11:E21)</f>
        <v>47308353</v>
      </c>
      <c r="F10" s="242">
        <f>E10-D10</f>
        <v>2651706</v>
      </c>
      <c r="G10" s="269">
        <f>_xlfn.IFERROR(F10/D10*100,"")</f>
        <v>5.937987238495537</v>
      </c>
      <c r="H10" s="267">
        <f>SUM(H11:H23)</f>
        <v>1876404</v>
      </c>
      <c r="I10" s="268">
        <f>SUM(I11:I23)</f>
        <v>2300235</v>
      </c>
      <c r="J10" s="242">
        <f>I10-H10</f>
        <v>423831</v>
      </c>
      <c r="K10" s="269">
        <f aca="true" t="shared" si="0" ref="K10:K23">_xlfn.IFERROR(J10/H10*100,"")</f>
        <v>22.587406549975377</v>
      </c>
      <c r="L10" s="267">
        <f>SUM(L11:L23)</f>
        <v>42694243</v>
      </c>
      <c r="M10" s="268">
        <f>SUM(M11:M23)</f>
        <v>44098118</v>
      </c>
      <c r="N10" s="242">
        <f aca="true" t="shared" si="1" ref="N10:N21">M10-L10</f>
        <v>1403875</v>
      </c>
      <c r="O10" s="269">
        <f aca="true" t="shared" si="2" ref="O10:O23">_xlfn.IFERROR(N10/L10*100,"")</f>
        <v>3.288206796405782</v>
      </c>
      <c r="P10" s="267">
        <f>SUM(P11:P23)</f>
        <v>0</v>
      </c>
      <c r="Q10" s="268">
        <f>SUM(Q11:Q23)</f>
        <v>0</v>
      </c>
      <c r="R10" s="242">
        <f aca="true" t="shared" si="3" ref="R10:R21">Q10-P10</f>
        <v>0</v>
      </c>
      <c r="S10" s="269">
        <f aca="true" t="shared" si="4" ref="S10:S23">_xlfn.IFERROR(R10/P10*100,"")</f>
      </c>
      <c r="T10" s="267">
        <f>SUM(T11:T23)</f>
        <v>86000</v>
      </c>
      <c r="U10" s="268">
        <f>SUM(U11:U23)</f>
        <v>910000</v>
      </c>
      <c r="V10" s="242">
        <f aca="true" t="shared" si="5" ref="V10:V21">U10-T10</f>
        <v>824000</v>
      </c>
      <c r="W10" s="269">
        <f aca="true" t="shared" si="6" ref="W10:W23">_xlfn.IFERROR(V10/T10*100,"")</f>
        <v>958.1395348837209</v>
      </c>
      <c r="X10" s="267">
        <f>SUM(X11:X23)</f>
        <v>0</v>
      </c>
      <c r="Y10" s="268">
        <f>SUM(Y11:Y23)</f>
        <v>0</v>
      </c>
      <c r="Z10" s="270">
        <f aca="true" t="shared" si="7" ref="Z10:Z21">Y10-X10</f>
        <v>0</v>
      </c>
      <c r="AA10" s="271">
        <f aca="true" t="shared" si="8" ref="AA10:AA23">_xlfn.IFERROR(Z10/X10*100,"")</f>
      </c>
    </row>
    <row r="11" spans="1:27" s="73" customFormat="1" ht="23.25" customHeight="1">
      <c r="A11" s="130"/>
      <c r="B11" s="127"/>
      <c r="C11" s="75" t="s">
        <v>177</v>
      </c>
      <c r="D11" s="279">
        <f aca="true" t="shared" si="9" ref="D11:E21">H11+L11+P11+T11+X11</f>
        <v>0</v>
      </c>
      <c r="E11" s="280">
        <f>I11+M11+Q11+U11+Y11</f>
        <v>0</v>
      </c>
      <c r="F11" s="147">
        <f aca="true" t="shared" si="10" ref="F11:F37">E11-D11</f>
        <v>0</v>
      </c>
      <c r="G11" s="275">
        <f aca="true" t="shared" si="11" ref="G11:G23">_xlfn.IFERROR(F11/D11*100,"")</f>
      </c>
      <c r="H11" s="320">
        <v>0</v>
      </c>
      <c r="I11" s="321">
        <v>0</v>
      </c>
      <c r="J11" s="147">
        <f aca="true" t="shared" si="12" ref="J11:J21">I11-H11</f>
        <v>0</v>
      </c>
      <c r="K11" s="275">
        <f t="shared" si="0"/>
      </c>
      <c r="L11" s="320">
        <v>0</v>
      </c>
      <c r="M11" s="321">
        <v>0</v>
      </c>
      <c r="N11" s="147">
        <f t="shared" si="1"/>
        <v>0</v>
      </c>
      <c r="O11" s="275">
        <f t="shared" si="2"/>
      </c>
      <c r="P11" s="283">
        <v>0</v>
      </c>
      <c r="Q11" s="321">
        <v>0</v>
      </c>
      <c r="R11" s="147">
        <f t="shared" si="3"/>
        <v>0</v>
      </c>
      <c r="S11" s="275">
        <f t="shared" si="4"/>
      </c>
      <c r="T11" s="321"/>
      <c r="U11" s="322"/>
      <c r="V11" s="147">
        <f t="shared" si="5"/>
        <v>0</v>
      </c>
      <c r="W11" s="275">
        <f t="shared" si="6"/>
      </c>
      <c r="X11" s="283">
        <v>0</v>
      </c>
      <c r="Y11" s="284">
        <v>0</v>
      </c>
      <c r="Z11" s="278">
        <f t="shared" si="7"/>
        <v>0</v>
      </c>
      <c r="AA11" s="243">
        <f t="shared" si="8"/>
      </c>
    </row>
    <row r="12" spans="1:27" s="73" customFormat="1" ht="23.25" customHeight="1">
      <c r="A12" s="130"/>
      <c r="B12" s="127"/>
      <c r="C12" s="75" t="s">
        <v>178</v>
      </c>
      <c r="D12" s="279">
        <f t="shared" si="9"/>
        <v>0</v>
      </c>
      <c r="E12" s="280">
        <f t="shared" si="9"/>
        <v>0</v>
      </c>
      <c r="F12" s="147">
        <f t="shared" si="10"/>
        <v>0</v>
      </c>
      <c r="G12" s="275">
        <f t="shared" si="11"/>
      </c>
      <c r="H12" s="320">
        <v>0</v>
      </c>
      <c r="I12" s="321">
        <v>0</v>
      </c>
      <c r="J12" s="147">
        <f t="shared" si="12"/>
        <v>0</v>
      </c>
      <c r="K12" s="275">
        <f t="shared" si="0"/>
      </c>
      <c r="L12" s="320">
        <v>0</v>
      </c>
      <c r="M12" s="321">
        <v>0</v>
      </c>
      <c r="N12" s="147">
        <f t="shared" si="1"/>
        <v>0</v>
      </c>
      <c r="O12" s="275">
        <f t="shared" si="2"/>
      </c>
      <c r="P12" s="283">
        <v>0</v>
      </c>
      <c r="Q12" s="321">
        <v>0</v>
      </c>
      <c r="R12" s="147">
        <f t="shared" si="3"/>
        <v>0</v>
      </c>
      <c r="S12" s="275">
        <f t="shared" si="4"/>
      </c>
      <c r="T12" s="321"/>
      <c r="U12" s="322"/>
      <c r="V12" s="147">
        <f t="shared" si="5"/>
        <v>0</v>
      </c>
      <c r="W12" s="275">
        <f t="shared" si="6"/>
      </c>
      <c r="X12" s="283">
        <v>0</v>
      </c>
      <c r="Y12" s="284">
        <v>0</v>
      </c>
      <c r="Z12" s="278">
        <f t="shared" si="7"/>
        <v>0</v>
      </c>
      <c r="AA12" s="243">
        <f t="shared" si="8"/>
      </c>
    </row>
    <row r="13" spans="1:27" s="73" customFormat="1" ht="23.25" customHeight="1">
      <c r="A13" s="130"/>
      <c r="B13" s="127"/>
      <c r="C13" s="75" t="s">
        <v>179</v>
      </c>
      <c r="D13" s="279">
        <f t="shared" si="9"/>
        <v>0</v>
      </c>
      <c r="E13" s="280">
        <f t="shared" si="9"/>
        <v>0</v>
      </c>
      <c r="F13" s="147">
        <f t="shared" si="10"/>
        <v>0</v>
      </c>
      <c r="G13" s="275">
        <f t="shared" si="11"/>
      </c>
      <c r="H13" s="320">
        <v>0</v>
      </c>
      <c r="I13" s="321">
        <v>0</v>
      </c>
      <c r="J13" s="147">
        <f t="shared" si="12"/>
        <v>0</v>
      </c>
      <c r="K13" s="275">
        <f t="shared" si="0"/>
      </c>
      <c r="L13" s="320">
        <v>0</v>
      </c>
      <c r="M13" s="321">
        <v>0</v>
      </c>
      <c r="N13" s="147">
        <f t="shared" si="1"/>
        <v>0</v>
      </c>
      <c r="O13" s="275">
        <f t="shared" si="2"/>
      </c>
      <c r="P13" s="283">
        <v>0</v>
      </c>
      <c r="Q13" s="321">
        <v>0</v>
      </c>
      <c r="R13" s="147">
        <f t="shared" si="3"/>
        <v>0</v>
      </c>
      <c r="S13" s="275">
        <f t="shared" si="4"/>
      </c>
      <c r="T13" s="321"/>
      <c r="U13" s="322"/>
      <c r="V13" s="147">
        <f t="shared" si="5"/>
        <v>0</v>
      </c>
      <c r="W13" s="275">
        <f t="shared" si="6"/>
      </c>
      <c r="X13" s="283">
        <v>0</v>
      </c>
      <c r="Y13" s="284">
        <v>0</v>
      </c>
      <c r="Z13" s="278">
        <f t="shared" si="7"/>
        <v>0</v>
      </c>
      <c r="AA13" s="243">
        <f t="shared" si="8"/>
      </c>
    </row>
    <row r="14" spans="1:27" s="73" customFormat="1" ht="23.25" customHeight="1">
      <c r="A14" s="130"/>
      <c r="B14" s="127"/>
      <c r="C14" s="75" t="s">
        <v>245</v>
      </c>
      <c r="D14" s="279">
        <f t="shared" si="9"/>
        <v>9820800</v>
      </c>
      <c r="E14" s="280">
        <f>I14+M14+Q14+U14+Y14</f>
        <v>10008782</v>
      </c>
      <c r="F14" s="147">
        <f t="shared" si="10"/>
        <v>187982</v>
      </c>
      <c r="G14" s="275">
        <f t="shared" si="11"/>
        <v>1.9141210492016942</v>
      </c>
      <c r="H14" s="320">
        <v>1258862</v>
      </c>
      <c r="I14" s="321">
        <v>1435388</v>
      </c>
      <c r="J14" s="147">
        <f t="shared" si="12"/>
        <v>176526</v>
      </c>
      <c r="K14" s="275">
        <f t="shared" si="0"/>
        <v>14.022664914819893</v>
      </c>
      <c r="L14" s="320">
        <v>8561938</v>
      </c>
      <c r="M14" s="321">
        <v>8524394</v>
      </c>
      <c r="N14" s="147">
        <f t="shared" si="1"/>
        <v>-37544</v>
      </c>
      <c r="O14" s="275">
        <f t="shared" si="2"/>
        <v>-0.43849885388097876</v>
      </c>
      <c r="P14" s="283">
        <v>0</v>
      </c>
      <c r="Q14" s="321">
        <v>0</v>
      </c>
      <c r="R14" s="147">
        <f t="shared" si="3"/>
        <v>0</v>
      </c>
      <c r="S14" s="275">
        <f t="shared" si="4"/>
      </c>
      <c r="T14" s="321">
        <v>0</v>
      </c>
      <c r="U14" s="322">
        <v>49000</v>
      </c>
      <c r="V14" s="147">
        <f t="shared" si="5"/>
        <v>49000</v>
      </c>
      <c r="W14" s="275">
        <f t="shared" si="6"/>
      </c>
      <c r="X14" s="283">
        <v>0</v>
      </c>
      <c r="Y14" s="284">
        <v>0</v>
      </c>
      <c r="Z14" s="278">
        <f t="shared" si="7"/>
        <v>0</v>
      </c>
      <c r="AA14" s="243">
        <f t="shared" si="8"/>
      </c>
    </row>
    <row r="15" spans="1:27" s="73" customFormat="1" ht="23.25" customHeight="1">
      <c r="A15" s="130"/>
      <c r="B15" s="127"/>
      <c r="C15" s="75" t="s">
        <v>180</v>
      </c>
      <c r="D15" s="279">
        <f t="shared" si="9"/>
        <v>31278749</v>
      </c>
      <c r="E15" s="280">
        <f>I15+M15+Q15+U15+Y15</f>
        <v>33668766</v>
      </c>
      <c r="F15" s="147">
        <f t="shared" si="10"/>
        <v>2390017</v>
      </c>
      <c r="G15" s="275">
        <f t="shared" si="11"/>
        <v>7.641024901603322</v>
      </c>
      <c r="H15" s="320">
        <v>399673</v>
      </c>
      <c r="I15" s="321">
        <v>679473</v>
      </c>
      <c r="J15" s="147">
        <f t="shared" si="12"/>
        <v>279800</v>
      </c>
      <c r="K15" s="275">
        <f t="shared" si="0"/>
        <v>70.00723091126997</v>
      </c>
      <c r="L15" s="320">
        <v>30793076</v>
      </c>
      <c r="M15" s="321">
        <v>32128293</v>
      </c>
      <c r="N15" s="147">
        <f t="shared" si="1"/>
        <v>1335217</v>
      </c>
      <c r="O15" s="275">
        <f t="shared" si="2"/>
        <v>4.3360949065302865</v>
      </c>
      <c r="P15" s="283">
        <v>0</v>
      </c>
      <c r="Q15" s="321">
        <v>0</v>
      </c>
      <c r="R15" s="147">
        <f t="shared" si="3"/>
        <v>0</v>
      </c>
      <c r="S15" s="275">
        <f t="shared" si="4"/>
      </c>
      <c r="T15" s="321">
        <v>86000</v>
      </c>
      <c r="U15" s="322">
        <v>861000</v>
      </c>
      <c r="V15" s="147">
        <f t="shared" si="5"/>
        <v>775000</v>
      </c>
      <c r="W15" s="275">
        <f t="shared" si="6"/>
        <v>901.1627906976744</v>
      </c>
      <c r="X15" s="283">
        <v>0</v>
      </c>
      <c r="Y15" s="284">
        <v>0</v>
      </c>
      <c r="Z15" s="278">
        <f t="shared" si="7"/>
        <v>0</v>
      </c>
      <c r="AA15" s="243">
        <f t="shared" si="8"/>
      </c>
    </row>
    <row r="16" spans="1:27" s="73" customFormat="1" ht="23.25" customHeight="1">
      <c r="A16" s="130"/>
      <c r="B16" s="127"/>
      <c r="C16" s="75" t="s">
        <v>181</v>
      </c>
      <c r="D16" s="279">
        <f t="shared" si="9"/>
        <v>896539</v>
      </c>
      <c r="E16" s="280">
        <f t="shared" si="9"/>
        <v>942570</v>
      </c>
      <c r="F16" s="147">
        <f t="shared" si="10"/>
        <v>46031</v>
      </c>
      <c r="G16" s="275">
        <f t="shared" si="11"/>
        <v>5.134299790639337</v>
      </c>
      <c r="H16" s="320">
        <v>5392</v>
      </c>
      <c r="I16" s="321">
        <v>3983</v>
      </c>
      <c r="J16" s="147">
        <f t="shared" si="12"/>
        <v>-1409</v>
      </c>
      <c r="K16" s="275">
        <f t="shared" si="0"/>
        <v>-26.131305637982194</v>
      </c>
      <c r="L16" s="320">
        <v>891147</v>
      </c>
      <c r="M16" s="321">
        <v>938587</v>
      </c>
      <c r="N16" s="147">
        <f t="shared" si="1"/>
        <v>47440</v>
      </c>
      <c r="O16" s="275">
        <f t="shared" si="2"/>
        <v>5.323476373707144</v>
      </c>
      <c r="P16" s="283">
        <v>0</v>
      </c>
      <c r="Q16" s="321">
        <v>0</v>
      </c>
      <c r="R16" s="147">
        <f t="shared" si="3"/>
        <v>0</v>
      </c>
      <c r="S16" s="275">
        <f t="shared" si="4"/>
      </c>
      <c r="T16" s="321">
        <v>0</v>
      </c>
      <c r="U16" s="322">
        <v>0</v>
      </c>
      <c r="V16" s="147">
        <f t="shared" si="5"/>
        <v>0</v>
      </c>
      <c r="W16" s="275">
        <f t="shared" si="6"/>
      </c>
      <c r="X16" s="283">
        <v>0</v>
      </c>
      <c r="Y16" s="284">
        <v>0</v>
      </c>
      <c r="Z16" s="278">
        <f t="shared" si="7"/>
        <v>0</v>
      </c>
      <c r="AA16" s="243">
        <f t="shared" si="8"/>
      </c>
    </row>
    <row r="17" spans="1:27" s="73" customFormat="1" ht="23.25" customHeight="1">
      <c r="A17" s="130"/>
      <c r="B17" s="127"/>
      <c r="C17" s="75" t="s">
        <v>182</v>
      </c>
      <c r="D17" s="279">
        <f t="shared" si="9"/>
        <v>177018</v>
      </c>
      <c r="E17" s="280">
        <f t="shared" si="9"/>
        <v>168970</v>
      </c>
      <c r="F17" s="147">
        <f t="shared" si="10"/>
        <v>-8048</v>
      </c>
      <c r="G17" s="275">
        <f t="shared" si="11"/>
        <v>-4.546430306522501</v>
      </c>
      <c r="H17" s="320">
        <v>2908</v>
      </c>
      <c r="I17" s="321">
        <v>1272</v>
      </c>
      <c r="J17" s="147">
        <f t="shared" si="12"/>
        <v>-1636</v>
      </c>
      <c r="K17" s="275">
        <f t="shared" si="0"/>
        <v>-56.2585969738652</v>
      </c>
      <c r="L17" s="320">
        <v>174110</v>
      </c>
      <c r="M17" s="321">
        <v>167698</v>
      </c>
      <c r="N17" s="147">
        <f t="shared" si="1"/>
        <v>-6412</v>
      </c>
      <c r="O17" s="275">
        <f t="shared" si="2"/>
        <v>-3.6827293090574926</v>
      </c>
      <c r="P17" s="283">
        <v>0</v>
      </c>
      <c r="Q17" s="321">
        <v>0</v>
      </c>
      <c r="R17" s="147">
        <f t="shared" si="3"/>
        <v>0</v>
      </c>
      <c r="S17" s="275">
        <f t="shared" si="4"/>
      </c>
      <c r="T17" s="321">
        <v>0</v>
      </c>
      <c r="U17" s="322">
        <v>0</v>
      </c>
      <c r="V17" s="147">
        <f t="shared" si="5"/>
        <v>0</v>
      </c>
      <c r="W17" s="275">
        <f t="shared" si="6"/>
      </c>
      <c r="X17" s="283">
        <v>0</v>
      </c>
      <c r="Y17" s="284">
        <v>0</v>
      </c>
      <c r="Z17" s="278">
        <f t="shared" si="7"/>
        <v>0</v>
      </c>
      <c r="AA17" s="243">
        <f t="shared" si="8"/>
      </c>
    </row>
    <row r="18" spans="1:27" s="73" customFormat="1" ht="23.25" customHeight="1">
      <c r="A18" s="130"/>
      <c r="B18" s="127"/>
      <c r="C18" s="75" t="s">
        <v>38</v>
      </c>
      <c r="D18" s="279">
        <f t="shared" si="9"/>
        <v>2236940</v>
      </c>
      <c r="E18" s="280">
        <f t="shared" si="9"/>
        <v>2307137</v>
      </c>
      <c r="F18" s="147">
        <f t="shared" si="10"/>
        <v>70197</v>
      </c>
      <c r="G18" s="275">
        <f t="shared" si="11"/>
        <v>3.1380814863161284</v>
      </c>
      <c r="H18" s="320">
        <v>184275</v>
      </c>
      <c r="I18" s="321">
        <v>168792</v>
      </c>
      <c r="J18" s="147">
        <f t="shared" si="12"/>
        <v>-15483</v>
      </c>
      <c r="K18" s="275">
        <f t="shared" si="0"/>
        <v>-8.402116402116402</v>
      </c>
      <c r="L18" s="320">
        <v>2052665</v>
      </c>
      <c r="M18" s="321">
        <v>2138345</v>
      </c>
      <c r="N18" s="147">
        <f t="shared" si="1"/>
        <v>85680</v>
      </c>
      <c r="O18" s="275">
        <f t="shared" si="2"/>
        <v>4.174085883473436</v>
      </c>
      <c r="P18" s="283">
        <v>0</v>
      </c>
      <c r="Q18" s="321">
        <v>0</v>
      </c>
      <c r="R18" s="147">
        <f t="shared" si="3"/>
        <v>0</v>
      </c>
      <c r="S18" s="275">
        <f t="shared" si="4"/>
      </c>
      <c r="T18" s="321">
        <v>0</v>
      </c>
      <c r="U18" s="322">
        <v>0</v>
      </c>
      <c r="V18" s="147">
        <f t="shared" si="5"/>
        <v>0</v>
      </c>
      <c r="W18" s="275">
        <f t="shared" si="6"/>
      </c>
      <c r="X18" s="283">
        <v>0</v>
      </c>
      <c r="Y18" s="284">
        <v>0</v>
      </c>
      <c r="Z18" s="278">
        <f t="shared" si="7"/>
        <v>0</v>
      </c>
      <c r="AA18" s="243">
        <f t="shared" si="8"/>
      </c>
    </row>
    <row r="19" spans="1:27" s="73" customFormat="1" ht="23.25" customHeight="1">
      <c r="A19" s="130"/>
      <c r="B19" s="127"/>
      <c r="C19" s="75" t="s">
        <v>183</v>
      </c>
      <c r="D19" s="279">
        <f t="shared" si="9"/>
        <v>246601</v>
      </c>
      <c r="E19" s="280">
        <f t="shared" si="9"/>
        <v>212128</v>
      </c>
      <c r="F19" s="147">
        <f t="shared" si="10"/>
        <v>-34473</v>
      </c>
      <c r="G19" s="275">
        <f t="shared" si="11"/>
        <v>-13.979262046788133</v>
      </c>
      <c r="H19" s="320">
        <v>25294</v>
      </c>
      <c r="I19" s="321">
        <v>11327</v>
      </c>
      <c r="J19" s="147">
        <f t="shared" si="12"/>
        <v>-13967</v>
      </c>
      <c r="K19" s="275">
        <f t="shared" si="0"/>
        <v>-55.21862892385546</v>
      </c>
      <c r="L19" s="320">
        <v>221307</v>
      </c>
      <c r="M19" s="321">
        <v>200801</v>
      </c>
      <c r="N19" s="147">
        <f t="shared" si="1"/>
        <v>-20506</v>
      </c>
      <c r="O19" s="275">
        <f t="shared" si="2"/>
        <v>-9.265861450383404</v>
      </c>
      <c r="P19" s="283">
        <v>0</v>
      </c>
      <c r="Q19" s="321">
        <v>0</v>
      </c>
      <c r="R19" s="147">
        <f t="shared" si="3"/>
        <v>0</v>
      </c>
      <c r="S19" s="275">
        <f t="shared" si="4"/>
      </c>
      <c r="T19" s="321">
        <v>0</v>
      </c>
      <c r="U19" s="322">
        <v>0</v>
      </c>
      <c r="V19" s="147">
        <f t="shared" si="5"/>
        <v>0</v>
      </c>
      <c r="W19" s="275">
        <f t="shared" si="6"/>
      </c>
      <c r="X19" s="283">
        <v>0</v>
      </c>
      <c r="Y19" s="284">
        <v>0</v>
      </c>
      <c r="Z19" s="278">
        <f t="shared" si="7"/>
        <v>0</v>
      </c>
      <c r="AA19" s="243">
        <f t="shared" si="8"/>
      </c>
    </row>
    <row r="20" spans="1:27" s="73" customFormat="1" ht="23.25" customHeight="1">
      <c r="A20" s="130"/>
      <c r="B20" s="127"/>
      <c r="C20" s="75" t="s">
        <v>184</v>
      </c>
      <c r="D20" s="279">
        <f t="shared" si="9"/>
        <v>0</v>
      </c>
      <c r="E20" s="280">
        <f t="shared" si="9"/>
        <v>0</v>
      </c>
      <c r="F20" s="147">
        <f t="shared" si="10"/>
        <v>0</v>
      </c>
      <c r="G20" s="275">
        <f t="shared" si="11"/>
      </c>
      <c r="H20" s="320">
        <v>0</v>
      </c>
      <c r="I20" s="321">
        <v>0</v>
      </c>
      <c r="J20" s="147">
        <f t="shared" si="12"/>
        <v>0</v>
      </c>
      <c r="K20" s="275">
        <f t="shared" si="0"/>
      </c>
      <c r="L20" s="320">
        <v>0</v>
      </c>
      <c r="M20" s="321">
        <v>0</v>
      </c>
      <c r="N20" s="147">
        <f t="shared" si="1"/>
        <v>0</v>
      </c>
      <c r="O20" s="275">
        <f t="shared" si="2"/>
      </c>
      <c r="P20" s="283">
        <v>0</v>
      </c>
      <c r="Q20" s="321">
        <v>0</v>
      </c>
      <c r="R20" s="147">
        <f t="shared" si="3"/>
        <v>0</v>
      </c>
      <c r="S20" s="275">
        <f t="shared" si="4"/>
      </c>
      <c r="T20" s="321">
        <v>0</v>
      </c>
      <c r="U20" s="322">
        <v>0</v>
      </c>
      <c r="V20" s="147">
        <f t="shared" si="5"/>
        <v>0</v>
      </c>
      <c r="W20" s="275">
        <f t="shared" si="6"/>
      </c>
      <c r="X20" s="283">
        <v>0</v>
      </c>
      <c r="Y20" s="284">
        <v>0</v>
      </c>
      <c r="Z20" s="278">
        <f t="shared" si="7"/>
        <v>0</v>
      </c>
      <c r="AA20" s="243">
        <f t="shared" si="8"/>
      </c>
    </row>
    <row r="21" spans="1:27" s="73" customFormat="1" ht="23.25" customHeight="1">
      <c r="A21" s="130"/>
      <c r="B21" s="127"/>
      <c r="C21" s="75" t="s">
        <v>185</v>
      </c>
      <c r="D21" s="279">
        <f t="shared" si="9"/>
        <v>0</v>
      </c>
      <c r="E21" s="280">
        <f t="shared" si="9"/>
        <v>0</v>
      </c>
      <c r="F21" s="147">
        <f t="shared" si="10"/>
        <v>0</v>
      </c>
      <c r="G21" s="275">
        <f t="shared" si="11"/>
      </c>
      <c r="H21" s="320">
        <v>0</v>
      </c>
      <c r="I21" s="321">
        <v>0</v>
      </c>
      <c r="J21" s="147">
        <f t="shared" si="12"/>
        <v>0</v>
      </c>
      <c r="K21" s="275">
        <f t="shared" si="0"/>
      </c>
      <c r="L21" s="320">
        <v>0</v>
      </c>
      <c r="M21" s="321">
        <v>0</v>
      </c>
      <c r="N21" s="147">
        <f t="shared" si="1"/>
        <v>0</v>
      </c>
      <c r="O21" s="275">
        <f t="shared" si="2"/>
      </c>
      <c r="P21" s="283">
        <v>0</v>
      </c>
      <c r="Q21" s="321">
        <v>0</v>
      </c>
      <c r="R21" s="147">
        <f t="shared" si="3"/>
        <v>0</v>
      </c>
      <c r="S21" s="275">
        <f t="shared" si="4"/>
      </c>
      <c r="T21" s="321"/>
      <c r="U21" s="322"/>
      <c r="V21" s="147">
        <f t="shared" si="5"/>
        <v>0</v>
      </c>
      <c r="W21" s="275">
        <f t="shared" si="6"/>
      </c>
      <c r="X21" s="283">
        <v>0</v>
      </c>
      <c r="Y21" s="284">
        <v>0</v>
      </c>
      <c r="Z21" s="278">
        <f t="shared" si="7"/>
        <v>0</v>
      </c>
      <c r="AA21" s="243">
        <f t="shared" si="8"/>
      </c>
    </row>
    <row r="22" spans="1:27" s="73" customFormat="1" ht="23.25" customHeight="1">
      <c r="A22" s="130"/>
      <c r="B22" s="127"/>
      <c r="C22" s="75" t="s">
        <v>320</v>
      </c>
      <c r="D22" s="279">
        <f>H22+L22+P22+T22+X22</f>
        <v>0</v>
      </c>
      <c r="E22" s="280">
        <f>I22+M22+Q22+U22+Y22</f>
        <v>0</v>
      </c>
      <c r="F22" s="147">
        <f>E22-D22</f>
        <v>0</v>
      </c>
      <c r="G22" s="275">
        <f t="shared" si="11"/>
      </c>
      <c r="H22" s="320">
        <v>0</v>
      </c>
      <c r="I22" s="321">
        <v>0</v>
      </c>
      <c r="J22" s="147">
        <f>I22-H22</f>
        <v>0</v>
      </c>
      <c r="K22" s="275">
        <f t="shared" si="0"/>
      </c>
      <c r="L22" s="320">
        <v>0</v>
      </c>
      <c r="M22" s="321">
        <v>0</v>
      </c>
      <c r="N22" s="147">
        <f>M22-L22</f>
        <v>0</v>
      </c>
      <c r="O22" s="275">
        <f t="shared" si="2"/>
      </c>
      <c r="P22" s="283">
        <v>0</v>
      </c>
      <c r="Q22" s="321">
        <v>0</v>
      </c>
      <c r="R22" s="147">
        <f>Q22-P22</f>
        <v>0</v>
      </c>
      <c r="S22" s="275">
        <f t="shared" si="4"/>
      </c>
      <c r="T22" s="321">
        <v>0</v>
      </c>
      <c r="U22" s="322">
        <v>0</v>
      </c>
      <c r="V22" s="147">
        <f>U22-T22</f>
        <v>0</v>
      </c>
      <c r="W22" s="275">
        <f t="shared" si="6"/>
      </c>
      <c r="X22" s="283">
        <v>0</v>
      </c>
      <c r="Y22" s="284">
        <v>0</v>
      </c>
      <c r="Z22" s="278">
        <f>Y22-X22</f>
        <v>0</v>
      </c>
      <c r="AA22" s="243">
        <f t="shared" si="8"/>
      </c>
    </row>
    <row r="23" spans="1:27" s="73" customFormat="1" ht="23.25" customHeight="1">
      <c r="A23" s="130"/>
      <c r="B23" s="127"/>
      <c r="C23" s="75" t="s">
        <v>319</v>
      </c>
      <c r="D23" s="279">
        <f>H23+L23+P23+T23+X23</f>
        <v>0</v>
      </c>
      <c r="E23" s="280">
        <f>I23+M23+Q23+U23+Y23</f>
        <v>0</v>
      </c>
      <c r="F23" s="147">
        <f>E23-D23</f>
        <v>0</v>
      </c>
      <c r="G23" s="275">
        <f t="shared" si="11"/>
      </c>
      <c r="H23" s="320">
        <v>0</v>
      </c>
      <c r="I23" s="321">
        <v>0</v>
      </c>
      <c r="J23" s="147">
        <f>I23-H23</f>
        <v>0</v>
      </c>
      <c r="K23" s="275">
        <f t="shared" si="0"/>
      </c>
      <c r="L23" s="320">
        <v>0</v>
      </c>
      <c r="M23" s="321">
        <v>0</v>
      </c>
      <c r="N23" s="147">
        <f>M23-L23</f>
        <v>0</v>
      </c>
      <c r="O23" s="275">
        <f t="shared" si="2"/>
      </c>
      <c r="P23" s="283">
        <v>0</v>
      </c>
      <c r="Q23" s="321">
        <v>0</v>
      </c>
      <c r="R23" s="147">
        <f>Q23-P23</f>
        <v>0</v>
      </c>
      <c r="S23" s="275">
        <f t="shared" si="4"/>
      </c>
      <c r="T23" s="321">
        <v>0</v>
      </c>
      <c r="U23" s="322">
        <v>0</v>
      </c>
      <c r="V23" s="147">
        <f>U23-T23</f>
        <v>0</v>
      </c>
      <c r="W23" s="275">
        <f t="shared" si="6"/>
      </c>
      <c r="X23" s="283">
        <v>0</v>
      </c>
      <c r="Y23" s="284">
        <v>0</v>
      </c>
      <c r="Z23" s="278">
        <f>Y23-X23</f>
        <v>0</v>
      </c>
      <c r="AA23" s="243">
        <f t="shared" si="8"/>
      </c>
    </row>
    <row r="24" spans="1:27" s="73" customFormat="1" ht="23.25" customHeight="1">
      <c r="A24" s="130"/>
      <c r="B24" s="127"/>
      <c r="C24" s="75"/>
      <c r="D24" s="286"/>
      <c r="E24" s="287"/>
      <c r="F24" s="147"/>
      <c r="G24" s="274" t="s">
        <v>186</v>
      </c>
      <c r="H24" s="316"/>
      <c r="I24" s="317"/>
      <c r="J24" s="147"/>
      <c r="K24" s="275"/>
      <c r="L24" s="316"/>
      <c r="M24" s="317"/>
      <c r="N24" s="147"/>
      <c r="O24" s="275"/>
      <c r="P24" s="272"/>
      <c r="Q24" s="318"/>
      <c r="R24" s="147"/>
      <c r="S24" s="275"/>
      <c r="T24" s="316"/>
      <c r="U24" s="317"/>
      <c r="V24" s="147"/>
      <c r="W24" s="275"/>
      <c r="X24" s="272"/>
      <c r="Y24" s="273"/>
      <c r="Z24" s="319"/>
      <c r="AA24" s="243"/>
    </row>
    <row r="25" spans="1:27" s="73" customFormat="1" ht="23.25" customHeight="1">
      <c r="A25" s="130"/>
      <c r="B25" s="126" t="s">
        <v>272</v>
      </c>
      <c r="C25" s="74" t="s">
        <v>135</v>
      </c>
      <c r="D25" s="267">
        <f>SUM(D26:D35)</f>
        <v>2030354</v>
      </c>
      <c r="E25" s="268">
        <f>SUM(E26:E35)</f>
        <v>1856305</v>
      </c>
      <c r="F25" s="242">
        <f t="shared" si="10"/>
        <v>-174049</v>
      </c>
      <c r="G25" s="269">
        <f>_xlfn.IFERROR(F25/D25*100,"")</f>
        <v>-8.572347482261714</v>
      </c>
      <c r="H25" s="268">
        <f>SUM(H26:H35)</f>
        <v>33646</v>
      </c>
      <c r="I25" s="268">
        <f>SUM(I26:I35)</f>
        <v>31458</v>
      </c>
      <c r="J25" s="242">
        <f aca="true" t="shared" si="13" ref="J25:J35">I25-H25</f>
        <v>-2188</v>
      </c>
      <c r="K25" s="269">
        <f>_xlfn.IFERROR(J25/H25*100,"")</f>
        <v>-6.503001842715331</v>
      </c>
      <c r="L25" s="267">
        <f>SUM(L26:L35)</f>
        <v>1996708</v>
      </c>
      <c r="M25" s="268">
        <f>SUM(M26:M35)</f>
        <v>1824847</v>
      </c>
      <c r="N25" s="242">
        <f aca="true" t="shared" si="14" ref="N25:N34">M25-L25</f>
        <v>-171861</v>
      </c>
      <c r="O25" s="269">
        <f>_xlfn.IFERROR(N25/L25*100,"")</f>
        <v>-8.607217479972034</v>
      </c>
      <c r="P25" s="267">
        <f>SUM(P26:P35)</f>
        <v>0</v>
      </c>
      <c r="Q25" s="268">
        <f>SUM(Q26:Q35)</f>
        <v>0</v>
      </c>
      <c r="R25" s="242">
        <f aca="true" t="shared" si="15" ref="R25:R35">Q25-P25</f>
        <v>0</v>
      </c>
      <c r="S25" s="269">
        <f>_xlfn.IFERROR(R25/P25*100,"")</f>
      </c>
      <c r="T25" s="267">
        <f>SUM(T26:T35)</f>
        <v>0</v>
      </c>
      <c r="U25" s="268">
        <f>SUM(U26:U35)</f>
        <v>0</v>
      </c>
      <c r="V25" s="242">
        <f aca="true" t="shared" si="16" ref="V25:V35">U25-T25</f>
        <v>0</v>
      </c>
      <c r="W25" s="269">
        <f>_xlfn.IFERROR(V25/T25*100,"")</f>
      </c>
      <c r="X25" s="267">
        <f>SUM(X26:X35)</f>
        <v>0</v>
      </c>
      <c r="Y25" s="268">
        <f>SUM(Y26:Y35)</f>
        <v>0</v>
      </c>
      <c r="Z25" s="270">
        <f>Y25-X25</f>
        <v>0</v>
      </c>
      <c r="AA25" s="271">
        <f>_xlfn.IFERROR(Z25/X25*100,"")</f>
      </c>
    </row>
    <row r="26" spans="1:27" s="73" customFormat="1" ht="23.25" customHeight="1">
      <c r="A26" s="130"/>
      <c r="B26" s="127"/>
      <c r="C26" s="75" t="s">
        <v>187</v>
      </c>
      <c r="D26" s="279">
        <f aca="true" t="shared" si="17" ref="D26:D35">H26+L26+P26+T26+X26+D63</f>
        <v>0</v>
      </c>
      <c r="E26" s="280">
        <f aca="true" t="shared" si="18" ref="E26:E35">I26+M26+Q26+U26+Y26+E63</f>
        <v>0</v>
      </c>
      <c r="F26" s="147">
        <f t="shared" si="10"/>
        <v>0</v>
      </c>
      <c r="G26" s="274">
        <f aca="true" t="shared" si="19" ref="G26:G37">_xlfn.IFERROR(F26/D26*100,"")</f>
      </c>
      <c r="H26" s="320">
        <v>0</v>
      </c>
      <c r="I26" s="321">
        <v>0</v>
      </c>
      <c r="J26" s="147">
        <f t="shared" si="13"/>
        <v>0</v>
      </c>
      <c r="K26" s="275">
        <f aca="true" t="shared" si="20" ref="K26:K37">_xlfn.IFERROR(J26/H26*100,"")</f>
      </c>
      <c r="L26" s="320">
        <v>0</v>
      </c>
      <c r="M26" s="321">
        <v>0</v>
      </c>
      <c r="N26" s="147">
        <f t="shared" si="14"/>
        <v>0</v>
      </c>
      <c r="O26" s="275">
        <f aca="true" t="shared" si="21" ref="O26:O37">_xlfn.IFERROR(N26/L26*100,"")</f>
      </c>
      <c r="P26" s="283">
        <v>0</v>
      </c>
      <c r="Q26" s="321">
        <v>0</v>
      </c>
      <c r="R26" s="147">
        <f t="shared" si="15"/>
        <v>0</v>
      </c>
      <c r="S26" s="275">
        <f aca="true" t="shared" si="22" ref="S26:S37">_xlfn.IFERROR(R26/P26*100,"")</f>
      </c>
      <c r="T26" s="320">
        <v>0</v>
      </c>
      <c r="U26" s="321">
        <v>0</v>
      </c>
      <c r="V26" s="147">
        <f t="shared" si="16"/>
        <v>0</v>
      </c>
      <c r="W26" s="275">
        <f aca="true" t="shared" si="23" ref="W26:W37">_xlfn.IFERROR(V26/T26*100,"")</f>
      </c>
      <c r="X26" s="283">
        <v>0</v>
      </c>
      <c r="Y26" s="284">
        <v>0</v>
      </c>
      <c r="Z26" s="278">
        <f aca="true" t="shared" si="24" ref="Z26:Z35">Y26-X26</f>
        <v>0</v>
      </c>
      <c r="AA26" s="243">
        <f aca="true" t="shared" si="25" ref="AA26:AA37">_xlfn.IFERROR(Z26/X26*100,"")</f>
      </c>
    </row>
    <row r="27" spans="1:27" s="73" customFormat="1" ht="23.25" customHeight="1">
      <c r="A27" s="130"/>
      <c r="B27" s="127"/>
      <c r="C27" s="75" t="s">
        <v>188</v>
      </c>
      <c r="D27" s="279">
        <f t="shared" si="17"/>
        <v>187367</v>
      </c>
      <c r="E27" s="280">
        <f t="shared" si="18"/>
        <v>237396</v>
      </c>
      <c r="F27" s="147">
        <f t="shared" si="10"/>
        <v>50029</v>
      </c>
      <c r="G27" s="274">
        <f t="shared" si="19"/>
        <v>26.701073294657007</v>
      </c>
      <c r="H27" s="320">
        <v>0</v>
      </c>
      <c r="I27" s="321">
        <v>0</v>
      </c>
      <c r="J27" s="147">
        <f t="shared" si="13"/>
        <v>0</v>
      </c>
      <c r="K27" s="275">
        <f t="shared" si="20"/>
      </c>
      <c r="L27" s="320">
        <v>187367</v>
      </c>
      <c r="M27" s="321">
        <v>237396</v>
      </c>
      <c r="N27" s="147">
        <f t="shared" si="14"/>
        <v>50029</v>
      </c>
      <c r="O27" s="275">
        <f>_xlfn.IFERROR(N27/L27*100,"")</f>
        <v>26.701073294657007</v>
      </c>
      <c r="P27" s="283">
        <v>0</v>
      </c>
      <c r="Q27" s="321">
        <v>0</v>
      </c>
      <c r="R27" s="147">
        <f t="shared" si="15"/>
        <v>0</v>
      </c>
      <c r="S27" s="275">
        <f>_xlfn.IFERROR(R27/P27*100,"")</f>
      </c>
      <c r="T27" s="320">
        <v>0</v>
      </c>
      <c r="U27" s="321">
        <v>0</v>
      </c>
      <c r="V27" s="147">
        <f t="shared" si="16"/>
        <v>0</v>
      </c>
      <c r="W27" s="275">
        <f>_xlfn.IFERROR(V27/T27*100,"")</f>
      </c>
      <c r="X27" s="283">
        <v>0</v>
      </c>
      <c r="Y27" s="284">
        <v>0</v>
      </c>
      <c r="Z27" s="278">
        <f t="shared" si="24"/>
        <v>0</v>
      </c>
      <c r="AA27" s="243">
        <f>_xlfn.IFERROR(Z27/X27*100,"")</f>
      </c>
    </row>
    <row r="28" spans="1:27" s="73" customFormat="1" ht="23.25" customHeight="1">
      <c r="A28" s="130"/>
      <c r="B28" s="127"/>
      <c r="C28" s="75" t="s">
        <v>189</v>
      </c>
      <c r="D28" s="279">
        <f t="shared" si="17"/>
        <v>1512357</v>
      </c>
      <c r="E28" s="280">
        <f t="shared" si="18"/>
        <v>1255454</v>
      </c>
      <c r="F28" s="147">
        <f t="shared" si="10"/>
        <v>-256903</v>
      </c>
      <c r="G28" s="274">
        <f t="shared" si="19"/>
        <v>-16.986928350911853</v>
      </c>
      <c r="H28" s="320">
        <v>2299</v>
      </c>
      <c r="I28" s="321">
        <v>4237</v>
      </c>
      <c r="J28" s="147">
        <f t="shared" si="13"/>
        <v>1938</v>
      </c>
      <c r="K28" s="275">
        <f t="shared" si="20"/>
        <v>84.29752066115702</v>
      </c>
      <c r="L28" s="320">
        <v>1510058</v>
      </c>
      <c r="M28" s="321">
        <v>1251217</v>
      </c>
      <c r="N28" s="147">
        <f t="shared" si="14"/>
        <v>-258841</v>
      </c>
      <c r="O28" s="275">
        <f t="shared" si="21"/>
        <v>-17.141129678462683</v>
      </c>
      <c r="P28" s="283">
        <v>0</v>
      </c>
      <c r="Q28" s="321">
        <v>0</v>
      </c>
      <c r="R28" s="147">
        <f t="shared" si="15"/>
        <v>0</v>
      </c>
      <c r="S28" s="275">
        <f t="shared" si="22"/>
      </c>
      <c r="T28" s="320">
        <v>0</v>
      </c>
      <c r="U28" s="321">
        <v>0</v>
      </c>
      <c r="V28" s="147">
        <f t="shared" si="16"/>
        <v>0</v>
      </c>
      <c r="W28" s="275">
        <f t="shared" si="23"/>
      </c>
      <c r="X28" s="283">
        <v>0</v>
      </c>
      <c r="Y28" s="284">
        <v>0</v>
      </c>
      <c r="Z28" s="278">
        <f t="shared" si="24"/>
        <v>0</v>
      </c>
      <c r="AA28" s="243">
        <f t="shared" si="25"/>
      </c>
    </row>
    <row r="29" spans="1:27" s="73" customFormat="1" ht="23.25" customHeight="1">
      <c r="A29" s="130"/>
      <c r="B29" s="127"/>
      <c r="C29" s="75" t="s">
        <v>190</v>
      </c>
      <c r="D29" s="279">
        <f t="shared" si="17"/>
        <v>0</v>
      </c>
      <c r="E29" s="280">
        <f t="shared" si="18"/>
        <v>0</v>
      </c>
      <c r="F29" s="147">
        <f t="shared" si="10"/>
        <v>0</v>
      </c>
      <c r="G29" s="274">
        <f t="shared" si="19"/>
      </c>
      <c r="H29" s="320">
        <v>0</v>
      </c>
      <c r="I29" s="321">
        <v>0</v>
      </c>
      <c r="J29" s="147">
        <f t="shared" si="13"/>
        <v>0</v>
      </c>
      <c r="K29" s="275">
        <f t="shared" si="20"/>
      </c>
      <c r="L29" s="320">
        <v>0</v>
      </c>
      <c r="M29" s="321">
        <v>0</v>
      </c>
      <c r="N29" s="147">
        <f t="shared" si="14"/>
        <v>0</v>
      </c>
      <c r="O29" s="275">
        <f t="shared" si="21"/>
      </c>
      <c r="P29" s="283">
        <v>0</v>
      </c>
      <c r="Q29" s="321">
        <v>0</v>
      </c>
      <c r="R29" s="147">
        <f t="shared" si="15"/>
        <v>0</v>
      </c>
      <c r="S29" s="275">
        <f t="shared" si="22"/>
      </c>
      <c r="T29" s="320">
        <v>0</v>
      </c>
      <c r="U29" s="321">
        <v>0</v>
      </c>
      <c r="V29" s="147">
        <f t="shared" si="16"/>
        <v>0</v>
      </c>
      <c r="W29" s="275">
        <f t="shared" si="23"/>
      </c>
      <c r="X29" s="283">
        <v>0</v>
      </c>
      <c r="Y29" s="284">
        <v>0</v>
      </c>
      <c r="Z29" s="278">
        <f t="shared" si="24"/>
        <v>0</v>
      </c>
      <c r="AA29" s="243">
        <f t="shared" si="25"/>
      </c>
    </row>
    <row r="30" spans="1:27" s="73" customFormat="1" ht="23.25" customHeight="1">
      <c r="A30" s="130"/>
      <c r="B30" s="127"/>
      <c r="C30" s="75" t="s">
        <v>191</v>
      </c>
      <c r="D30" s="279">
        <f t="shared" si="17"/>
        <v>37791</v>
      </c>
      <c r="E30" s="280">
        <f t="shared" si="18"/>
        <v>36477</v>
      </c>
      <c r="F30" s="147">
        <f t="shared" si="10"/>
        <v>-1314</v>
      </c>
      <c r="G30" s="274">
        <f>_xlfn.IFERROR(F30/D30*100,"")</f>
        <v>-3.477018337699452</v>
      </c>
      <c r="H30" s="320"/>
      <c r="I30" s="321"/>
      <c r="J30" s="147">
        <f t="shared" si="13"/>
        <v>0</v>
      </c>
      <c r="K30" s="275">
        <f t="shared" si="20"/>
      </c>
      <c r="L30" s="320">
        <v>37791</v>
      </c>
      <c r="M30" s="321">
        <v>36477</v>
      </c>
      <c r="N30" s="147">
        <f t="shared" si="14"/>
        <v>-1314</v>
      </c>
      <c r="O30" s="275">
        <f t="shared" si="21"/>
        <v>-3.477018337699452</v>
      </c>
      <c r="P30" s="283">
        <v>0</v>
      </c>
      <c r="Q30" s="321">
        <v>0</v>
      </c>
      <c r="R30" s="147">
        <f t="shared" si="15"/>
        <v>0</v>
      </c>
      <c r="S30" s="275">
        <f t="shared" si="22"/>
      </c>
      <c r="T30" s="320">
        <v>0</v>
      </c>
      <c r="U30" s="321">
        <v>0</v>
      </c>
      <c r="V30" s="147">
        <f t="shared" si="16"/>
        <v>0</v>
      </c>
      <c r="W30" s="275">
        <f t="shared" si="23"/>
      </c>
      <c r="X30" s="283">
        <v>0</v>
      </c>
      <c r="Y30" s="284">
        <v>0</v>
      </c>
      <c r="Z30" s="278">
        <f t="shared" si="24"/>
        <v>0</v>
      </c>
      <c r="AA30" s="243">
        <f t="shared" si="25"/>
      </c>
    </row>
    <row r="31" spans="1:27" s="73" customFormat="1" ht="23.25" customHeight="1">
      <c r="A31" s="130"/>
      <c r="B31" s="127"/>
      <c r="C31" s="75" t="s">
        <v>192</v>
      </c>
      <c r="D31" s="279">
        <f t="shared" si="17"/>
        <v>0</v>
      </c>
      <c r="E31" s="280">
        <f t="shared" si="18"/>
        <v>0</v>
      </c>
      <c r="F31" s="147">
        <f t="shared" si="10"/>
        <v>0</v>
      </c>
      <c r="G31" s="274">
        <f t="shared" si="19"/>
      </c>
      <c r="H31" s="320">
        <v>0</v>
      </c>
      <c r="I31" s="321">
        <v>0</v>
      </c>
      <c r="J31" s="147">
        <f t="shared" si="13"/>
        <v>0</v>
      </c>
      <c r="K31" s="275">
        <f t="shared" si="20"/>
      </c>
      <c r="L31" s="320">
        <v>0</v>
      </c>
      <c r="M31" s="321">
        <v>0</v>
      </c>
      <c r="N31" s="147">
        <f t="shared" si="14"/>
        <v>0</v>
      </c>
      <c r="O31" s="275">
        <f t="shared" si="21"/>
      </c>
      <c r="P31" s="283">
        <v>0</v>
      </c>
      <c r="Q31" s="321">
        <v>0</v>
      </c>
      <c r="R31" s="147">
        <f t="shared" si="15"/>
        <v>0</v>
      </c>
      <c r="S31" s="275">
        <f t="shared" si="22"/>
      </c>
      <c r="T31" s="320">
        <v>0</v>
      </c>
      <c r="U31" s="321">
        <v>0</v>
      </c>
      <c r="V31" s="147">
        <f t="shared" si="16"/>
        <v>0</v>
      </c>
      <c r="W31" s="275">
        <f t="shared" si="23"/>
      </c>
      <c r="X31" s="283">
        <v>0</v>
      </c>
      <c r="Y31" s="284">
        <v>0</v>
      </c>
      <c r="Z31" s="278">
        <f t="shared" si="24"/>
        <v>0</v>
      </c>
      <c r="AA31" s="243">
        <f t="shared" si="25"/>
      </c>
    </row>
    <row r="32" spans="1:27" s="73" customFormat="1" ht="23.25" customHeight="1">
      <c r="A32" s="130"/>
      <c r="B32" s="127"/>
      <c r="C32" s="75" t="s">
        <v>193</v>
      </c>
      <c r="D32" s="279">
        <f t="shared" si="17"/>
        <v>0</v>
      </c>
      <c r="E32" s="280">
        <f t="shared" si="18"/>
        <v>0</v>
      </c>
      <c r="F32" s="147">
        <f t="shared" si="10"/>
        <v>0</v>
      </c>
      <c r="G32" s="274">
        <f t="shared" si="19"/>
      </c>
      <c r="H32" s="320">
        <v>0</v>
      </c>
      <c r="I32" s="321">
        <v>0</v>
      </c>
      <c r="J32" s="147">
        <f t="shared" si="13"/>
        <v>0</v>
      </c>
      <c r="K32" s="275">
        <f t="shared" si="20"/>
      </c>
      <c r="L32" s="320">
        <v>0</v>
      </c>
      <c r="M32" s="321">
        <v>0</v>
      </c>
      <c r="N32" s="147">
        <f t="shared" si="14"/>
        <v>0</v>
      </c>
      <c r="O32" s="275">
        <f t="shared" si="21"/>
      </c>
      <c r="P32" s="283">
        <v>0</v>
      </c>
      <c r="Q32" s="321">
        <v>0</v>
      </c>
      <c r="R32" s="147">
        <f t="shared" si="15"/>
        <v>0</v>
      </c>
      <c r="S32" s="275">
        <f t="shared" si="22"/>
      </c>
      <c r="T32" s="320">
        <v>0</v>
      </c>
      <c r="U32" s="321">
        <v>0</v>
      </c>
      <c r="V32" s="147">
        <f t="shared" si="16"/>
        <v>0</v>
      </c>
      <c r="W32" s="275">
        <f t="shared" si="23"/>
      </c>
      <c r="X32" s="283">
        <v>0</v>
      </c>
      <c r="Y32" s="284">
        <v>0</v>
      </c>
      <c r="Z32" s="278">
        <f t="shared" si="24"/>
        <v>0</v>
      </c>
      <c r="AA32" s="243">
        <f t="shared" si="25"/>
      </c>
    </row>
    <row r="33" spans="1:27" s="73" customFormat="1" ht="23.25" customHeight="1">
      <c r="A33" s="130"/>
      <c r="B33" s="127"/>
      <c r="C33" s="75" t="s">
        <v>194</v>
      </c>
      <c r="D33" s="279">
        <f t="shared" si="17"/>
        <v>156879</v>
      </c>
      <c r="E33" s="280">
        <f t="shared" si="18"/>
        <v>155275</v>
      </c>
      <c r="F33" s="147">
        <f t="shared" si="10"/>
        <v>-1604</v>
      </c>
      <c r="G33" s="274">
        <f t="shared" si="19"/>
        <v>-1.0224440492353981</v>
      </c>
      <c r="H33" s="320">
        <v>0</v>
      </c>
      <c r="I33" s="321">
        <v>0</v>
      </c>
      <c r="J33" s="147">
        <f t="shared" si="13"/>
        <v>0</v>
      </c>
      <c r="K33" s="275">
        <f t="shared" si="20"/>
      </c>
      <c r="L33" s="320">
        <v>156879</v>
      </c>
      <c r="M33" s="321">
        <v>155275</v>
      </c>
      <c r="N33" s="147">
        <f t="shared" si="14"/>
        <v>-1604</v>
      </c>
      <c r="O33" s="275">
        <f t="shared" si="21"/>
        <v>-1.0224440492353981</v>
      </c>
      <c r="P33" s="283">
        <v>0</v>
      </c>
      <c r="Q33" s="321">
        <v>0</v>
      </c>
      <c r="R33" s="147">
        <f t="shared" si="15"/>
        <v>0</v>
      </c>
      <c r="S33" s="275">
        <f t="shared" si="22"/>
      </c>
      <c r="T33" s="320">
        <v>0</v>
      </c>
      <c r="U33" s="321">
        <v>0</v>
      </c>
      <c r="V33" s="147">
        <f t="shared" si="16"/>
        <v>0</v>
      </c>
      <c r="W33" s="275">
        <f t="shared" si="23"/>
      </c>
      <c r="X33" s="283">
        <v>0</v>
      </c>
      <c r="Y33" s="284">
        <v>0</v>
      </c>
      <c r="Z33" s="278">
        <f t="shared" si="24"/>
        <v>0</v>
      </c>
      <c r="AA33" s="243">
        <f t="shared" si="25"/>
      </c>
    </row>
    <row r="34" spans="1:27" s="73" customFormat="1" ht="23.25" customHeight="1">
      <c r="A34" s="130"/>
      <c r="B34" s="127"/>
      <c r="C34" s="76" t="s">
        <v>195</v>
      </c>
      <c r="D34" s="279">
        <f t="shared" si="17"/>
        <v>61614</v>
      </c>
      <c r="E34" s="280">
        <f t="shared" si="18"/>
        <v>99980</v>
      </c>
      <c r="F34" s="147">
        <f t="shared" si="10"/>
        <v>38366</v>
      </c>
      <c r="G34" s="274">
        <f t="shared" si="19"/>
        <v>62.268315642548764</v>
      </c>
      <c r="H34" s="320">
        <v>2012</v>
      </c>
      <c r="I34" s="321">
        <v>1835</v>
      </c>
      <c r="J34" s="147">
        <f t="shared" si="13"/>
        <v>-177</v>
      </c>
      <c r="K34" s="275">
        <f t="shared" si="20"/>
        <v>-8.797216699801194</v>
      </c>
      <c r="L34" s="320">
        <v>59602</v>
      </c>
      <c r="M34" s="321">
        <v>98145</v>
      </c>
      <c r="N34" s="147">
        <f t="shared" si="14"/>
        <v>38543</v>
      </c>
      <c r="O34" s="275">
        <f t="shared" si="21"/>
        <v>64.66729304385758</v>
      </c>
      <c r="P34" s="283">
        <v>0</v>
      </c>
      <c r="Q34" s="321">
        <v>0</v>
      </c>
      <c r="R34" s="147">
        <f t="shared" si="15"/>
        <v>0</v>
      </c>
      <c r="S34" s="275">
        <f t="shared" si="22"/>
      </c>
      <c r="T34" s="320">
        <v>0</v>
      </c>
      <c r="U34" s="321">
        <v>0</v>
      </c>
      <c r="V34" s="147">
        <f t="shared" si="16"/>
        <v>0</v>
      </c>
      <c r="W34" s="275">
        <f t="shared" si="23"/>
      </c>
      <c r="X34" s="283">
        <v>0</v>
      </c>
      <c r="Y34" s="284">
        <v>0</v>
      </c>
      <c r="Z34" s="278">
        <f t="shared" si="24"/>
        <v>0</v>
      </c>
      <c r="AA34" s="243">
        <f t="shared" si="25"/>
      </c>
    </row>
    <row r="35" spans="1:27" s="73" customFormat="1" ht="23.25" customHeight="1">
      <c r="A35" s="130"/>
      <c r="B35" s="127"/>
      <c r="C35" s="75" t="s">
        <v>196</v>
      </c>
      <c r="D35" s="279">
        <f t="shared" si="17"/>
        <v>74346</v>
      </c>
      <c r="E35" s="280">
        <f t="shared" si="18"/>
        <v>71723</v>
      </c>
      <c r="F35" s="147">
        <f t="shared" si="10"/>
        <v>-2623</v>
      </c>
      <c r="G35" s="274">
        <f t="shared" si="19"/>
        <v>-3.528098350953649</v>
      </c>
      <c r="H35" s="320">
        <v>29335</v>
      </c>
      <c r="I35" s="321">
        <v>25386</v>
      </c>
      <c r="J35" s="147">
        <f t="shared" si="13"/>
        <v>-3949</v>
      </c>
      <c r="K35" s="275">
        <f t="shared" si="20"/>
        <v>-13.46173512868587</v>
      </c>
      <c r="L35" s="320">
        <v>45011</v>
      </c>
      <c r="M35" s="321">
        <v>46337</v>
      </c>
      <c r="N35" s="147">
        <f>M35-L35</f>
        <v>1326</v>
      </c>
      <c r="O35" s="275">
        <f t="shared" si="21"/>
        <v>2.9459465463997687</v>
      </c>
      <c r="P35" s="283">
        <v>0</v>
      </c>
      <c r="Q35" s="321">
        <v>0</v>
      </c>
      <c r="R35" s="147">
        <f t="shared" si="15"/>
        <v>0</v>
      </c>
      <c r="S35" s="275">
        <f t="shared" si="22"/>
      </c>
      <c r="T35" s="320">
        <v>0</v>
      </c>
      <c r="U35" s="321">
        <v>0</v>
      </c>
      <c r="V35" s="147">
        <f t="shared" si="16"/>
        <v>0</v>
      </c>
      <c r="W35" s="275">
        <f t="shared" si="23"/>
      </c>
      <c r="X35" s="283"/>
      <c r="Y35" s="284"/>
      <c r="Z35" s="278">
        <f t="shared" si="24"/>
        <v>0</v>
      </c>
      <c r="AA35" s="243">
        <f t="shared" si="25"/>
      </c>
    </row>
    <row r="36" spans="1:27" s="73" customFormat="1" ht="23.25" customHeight="1">
      <c r="A36" s="130"/>
      <c r="B36" s="127"/>
      <c r="C36" s="75"/>
      <c r="D36" s="286"/>
      <c r="E36" s="287"/>
      <c r="F36" s="147"/>
      <c r="G36" s="274"/>
      <c r="H36" s="316"/>
      <c r="I36" s="317"/>
      <c r="J36" s="147"/>
      <c r="K36" s="274"/>
      <c r="L36" s="316"/>
      <c r="M36" s="317"/>
      <c r="N36" s="147"/>
      <c r="O36" s="275"/>
      <c r="P36" s="272"/>
      <c r="Q36" s="318"/>
      <c r="R36" s="147"/>
      <c r="S36" s="275"/>
      <c r="T36" s="316"/>
      <c r="U36" s="317"/>
      <c r="V36" s="147"/>
      <c r="W36" s="275"/>
      <c r="X36" s="272"/>
      <c r="Y36" s="273"/>
      <c r="Z36" s="319"/>
      <c r="AA36" s="243"/>
    </row>
    <row r="37" spans="1:27" s="73" customFormat="1" ht="23.25" customHeight="1">
      <c r="A37" s="130"/>
      <c r="B37" s="126" t="s">
        <v>273</v>
      </c>
      <c r="C37" s="74" t="s">
        <v>135</v>
      </c>
      <c r="D37" s="267">
        <f>H37+L37+P37+T37+X37</f>
        <v>4255800</v>
      </c>
      <c r="E37" s="268">
        <f>I37+M37+Q37+U37+Y37</f>
        <v>4847648</v>
      </c>
      <c r="F37" s="242">
        <f t="shared" si="10"/>
        <v>591848</v>
      </c>
      <c r="G37" s="269">
        <f t="shared" si="19"/>
        <v>13.906856525212651</v>
      </c>
      <c r="H37" s="324">
        <v>64370</v>
      </c>
      <c r="I37" s="437">
        <v>71261</v>
      </c>
      <c r="J37" s="242">
        <f>I37-H37</f>
        <v>6891</v>
      </c>
      <c r="K37" s="269">
        <f t="shared" si="20"/>
        <v>10.705297498834861</v>
      </c>
      <c r="L37" s="323">
        <v>4191430</v>
      </c>
      <c r="M37" s="324">
        <v>4760092</v>
      </c>
      <c r="N37" s="242">
        <f>M37-L37</f>
        <v>568662</v>
      </c>
      <c r="O37" s="269">
        <f t="shared" si="21"/>
        <v>13.567255089551775</v>
      </c>
      <c r="P37" s="267">
        <v>0</v>
      </c>
      <c r="Q37" s="324">
        <v>0</v>
      </c>
      <c r="R37" s="242">
        <f>Q37-P37</f>
        <v>0</v>
      </c>
      <c r="S37" s="269">
        <f t="shared" si="22"/>
      </c>
      <c r="T37" s="323">
        <v>0</v>
      </c>
      <c r="U37" s="324">
        <v>0</v>
      </c>
      <c r="V37" s="242">
        <f>U37-T37</f>
        <v>0</v>
      </c>
      <c r="W37" s="269">
        <f t="shared" si="23"/>
      </c>
      <c r="X37" s="267">
        <v>0</v>
      </c>
      <c r="Y37" s="268">
        <v>16295</v>
      </c>
      <c r="Z37" s="270">
        <f>Y37-X37</f>
        <v>16295</v>
      </c>
      <c r="AA37" s="271">
        <f t="shared" si="25"/>
      </c>
    </row>
    <row r="38" spans="1:27" s="73" customFormat="1" ht="23.25" customHeight="1" thickBot="1">
      <c r="A38" s="132"/>
      <c r="B38" s="82"/>
      <c r="C38" s="77"/>
      <c r="D38" s="325"/>
      <c r="E38" s="326"/>
      <c r="F38" s="148"/>
      <c r="G38" s="290"/>
      <c r="H38" s="327"/>
      <c r="I38" s="328"/>
      <c r="J38" s="148"/>
      <c r="K38" s="290"/>
      <c r="L38" s="327"/>
      <c r="M38" s="328"/>
      <c r="N38" s="148"/>
      <c r="O38" s="290"/>
      <c r="P38" s="288"/>
      <c r="Q38" s="329"/>
      <c r="R38" s="148"/>
      <c r="S38" s="290"/>
      <c r="T38" s="327"/>
      <c r="U38" s="330"/>
      <c r="V38" s="148"/>
      <c r="W38" s="290"/>
      <c r="X38" s="288"/>
      <c r="Y38" s="289"/>
      <c r="Z38" s="331"/>
      <c r="AA38" s="291"/>
    </row>
    <row r="39" spans="1:28" ht="13.5">
      <c r="A39" s="124"/>
      <c r="B39" s="71"/>
      <c r="C39" s="71"/>
      <c r="D39" s="71"/>
      <c r="E39" s="71"/>
      <c r="F39" s="71"/>
      <c r="G39" s="78"/>
      <c r="H39" s="71"/>
      <c r="I39" s="71"/>
      <c r="J39" s="71"/>
      <c r="K39" s="78"/>
      <c r="L39" s="71"/>
      <c r="M39" s="71"/>
      <c r="N39" s="71"/>
      <c r="O39" s="78"/>
      <c r="S39" s="78"/>
      <c r="W39" s="78"/>
      <c r="AA39" s="71"/>
      <c r="AB39" s="71"/>
    </row>
    <row r="40" spans="1:28" ht="14.25" thickBot="1">
      <c r="A40" s="124"/>
      <c r="B40" s="71"/>
      <c r="C40" s="71"/>
      <c r="AA40" s="71"/>
      <c r="AB40" s="71"/>
    </row>
    <row r="41" spans="1:23" s="64" customFormat="1" ht="23.25" customHeight="1">
      <c r="A41" s="1175" t="s">
        <v>165</v>
      </c>
      <c r="B41" s="1176"/>
      <c r="C41" s="1177"/>
      <c r="D41" s="86" t="s">
        <v>207</v>
      </c>
      <c r="E41" s="85"/>
      <c r="F41" s="85"/>
      <c r="G41" s="85"/>
      <c r="H41" s="79" t="s">
        <v>198</v>
      </c>
      <c r="I41" s="80"/>
      <c r="J41" s="80"/>
      <c r="K41" s="80"/>
      <c r="L41" s="90"/>
      <c r="M41" s="80"/>
      <c r="N41" s="80"/>
      <c r="O41" s="80"/>
      <c r="P41" s="90"/>
      <c r="Q41" s="80"/>
      <c r="R41" s="80"/>
      <c r="S41" s="80"/>
      <c r="T41" s="91" t="s">
        <v>208</v>
      </c>
      <c r="U41" s="92"/>
      <c r="V41" s="92"/>
      <c r="W41" s="136"/>
    </row>
    <row r="42" spans="1:23" s="64" customFormat="1" ht="23.25" customHeight="1">
      <c r="A42" s="1178"/>
      <c r="B42" s="1179"/>
      <c r="C42" s="1180"/>
      <c r="D42" s="245" t="s">
        <v>266</v>
      </c>
      <c r="E42" s="246"/>
      <c r="F42" s="246"/>
      <c r="G42" s="246"/>
      <c r="H42" s="88" t="s">
        <v>200</v>
      </c>
      <c r="I42" s="89"/>
      <c r="J42" s="89"/>
      <c r="K42" s="89"/>
      <c r="L42" s="88" t="s">
        <v>209</v>
      </c>
      <c r="M42" s="89"/>
      <c r="N42" s="89"/>
      <c r="O42" s="89"/>
      <c r="P42" s="88" t="s">
        <v>210</v>
      </c>
      <c r="Q42" s="89"/>
      <c r="R42" s="89"/>
      <c r="S42" s="89"/>
      <c r="T42" s="1205" t="s">
        <v>174</v>
      </c>
      <c r="U42" s="1197" t="s">
        <v>170</v>
      </c>
      <c r="V42" s="1198" t="s">
        <v>173</v>
      </c>
      <c r="W42" s="1200" t="s">
        <v>172</v>
      </c>
    </row>
    <row r="43" spans="1:23" s="64" customFormat="1" ht="23.25" customHeight="1">
      <c r="A43" s="1181"/>
      <c r="B43" s="1182"/>
      <c r="C43" s="1183"/>
      <c r="D43" s="70" t="s">
        <v>174</v>
      </c>
      <c r="E43" s="67" t="s">
        <v>170</v>
      </c>
      <c r="F43" s="67" t="s">
        <v>173</v>
      </c>
      <c r="G43" s="68" t="s">
        <v>172</v>
      </c>
      <c r="H43" s="70" t="s">
        <v>174</v>
      </c>
      <c r="I43" s="69" t="s">
        <v>170</v>
      </c>
      <c r="J43" s="67" t="s">
        <v>173</v>
      </c>
      <c r="K43" s="68" t="s">
        <v>172</v>
      </c>
      <c r="L43" s="70" t="s">
        <v>174</v>
      </c>
      <c r="M43" s="69" t="s">
        <v>170</v>
      </c>
      <c r="N43" s="67" t="s">
        <v>173</v>
      </c>
      <c r="O43" s="68" t="s">
        <v>172</v>
      </c>
      <c r="P43" s="70" t="s">
        <v>174</v>
      </c>
      <c r="Q43" s="69" t="s">
        <v>170</v>
      </c>
      <c r="R43" s="67" t="s">
        <v>173</v>
      </c>
      <c r="S43" s="68" t="s">
        <v>172</v>
      </c>
      <c r="T43" s="1206"/>
      <c r="U43" s="1174"/>
      <c r="V43" s="1199"/>
      <c r="W43" s="1202"/>
    </row>
    <row r="44" spans="1:23" ht="23.25" customHeight="1">
      <c r="A44" s="124"/>
      <c r="B44" s="71"/>
      <c r="C44" s="72"/>
      <c r="D44" s="332"/>
      <c r="E44" s="333"/>
      <c r="F44" s="261"/>
      <c r="G44" s="262"/>
      <c r="H44" s="310"/>
      <c r="I44" s="311"/>
      <c r="J44" s="261"/>
      <c r="K44" s="262"/>
      <c r="L44" s="310"/>
      <c r="M44" s="311"/>
      <c r="N44" s="261"/>
      <c r="O44" s="262"/>
      <c r="P44" s="310"/>
      <c r="Q44" s="311"/>
      <c r="R44" s="261"/>
      <c r="S44" s="262"/>
      <c r="T44" s="334"/>
      <c r="U44" s="311"/>
      <c r="V44" s="261"/>
      <c r="W44" s="452"/>
    </row>
    <row r="45" spans="1:23" ht="23.25" customHeight="1">
      <c r="A45" s="129" t="s">
        <v>175</v>
      </c>
      <c r="B45" s="126"/>
      <c r="C45" s="74"/>
      <c r="D45" s="267">
        <f>D47+D62+D74</f>
        <v>0</v>
      </c>
      <c r="E45" s="293">
        <f>E47+E62+E74</f>
        <v>0</v>
      </c>
      <c r="F45" s="335">
        <f>E45-D45</f>
        <v>0</v>
      </c>
      <c r="G45" s="269">
        <f>_xlfn.IFERROR(F45/D45*100,"")</f>
      </c>
      <c r="H45" s="267">
        <f>H47+H62+H74</f>
        <v>46280140</v>
      </c>
      <c r="I45" s="268">
        <f>I47+I62+I74</f>
        <v>48382629</v>
      </c>
      <c r="J45" s="242">
        <f>I45-H45</f>
        <v>2102489</v>
      </c>
      <c r="K45" s="269">
        <f>_xlfn.IFERROR(J45/H45*100,"")</f>
        <v>4.542961624575899</v>
      </c>
      <c r="L45" s="267">
        <f>L47+L62+L74</f>
        <v>3314028</v>
      </c>
      <c r="M45" s="268">
        <f>M47+M62+M74</f>
        <v>3941760</v>
      </c>
      <c r="N45" s="242">
        <f>M45-L45</f>
        <v>627732</v>
      </c>
      <c r="O45" s="269">
        <f>_xlfn.IFERROR(N45/L45*100,"")</f>
        <v>18.941662532724525</v>
      </c>
      <c r="P45" s="267">
        <f>P47+P62+P74</f>
        <v>1348633</v>
      </c>
      <c r="Q45" s="268">
        <f>Q47+Q62+Q74</f>
        <v>1687917</v>
      </c>
      <c r="R45" s="242">
        <f>Q45-P45</f>
        <v>339284</v>
      </c>
      <c r="S45" s="269">
        <f>_xlfn.IFERROR(R45/P45*100,"")</f>
        <v>25.157622570410187</v>
      </c>
      <c r="T45" s="336">
        <f>T47+T62+T74</f>
        <v>3635322</v>
      </c>
      <c r="U45" s="268">
        <f>U47+U62+U74</f>
        <v>3526606</v>
      </c>
      <c r="V45" s="242">
        <f>U45-T45</f>
        <v>-108716</v>
      </c>
      <c r="W45" s="271">
        <f>_xlfn.IFERROR(V45/T45*100,"")</f>
        <v>-2.9905466420856253</v>
      </c>
    </row>
    <row r="46" spans="1:23" ht="23.25" customHeight="1">
      <c r="A46" s="130"/>
      <c r="B46" s="127"/>
      <c r="C46" s="75"/>
      <c r="D46" s="337"/>
      <c r="E46" s="333"/>
      <c r="F46" s="147"/>
      <c r="G46" s="275"/>
      <c r="H46" s="338"/>
      <c r="I46" s="311"/>
      <c r="J46" s="147"/>
      <c r="K46" s="275"/>
      <c r="L46" s="338"/>
      <c r="M46" s="311"/>
      <c r="N46" s="147"/>
      <c r="O46" s="275"/>
      <c r="P46" s="338"/>
      <c r="Q46" s="311"/>
      <c r="R46" s="147"/>
      <c r="S46" s="275"/>
      <c r="T46" s="339"/>
      <c r="U46" s="311"/>
      <c r="V46" s="147"/>
      <c r="W46" s="243"/>
    </row>
    <row r="47" spans="1:23" ht="23.25" customHeight="1">
      <c r="A47" s="130"/>
      <c r="B47" s="126" t="s">
        <v>176</v>
      </c>
      <c r="C47" s="74" t="s">
        <v>135</v>
      </c>
      <c r="D47" s="296"/>
      <c r="E47" s="297"/>
      <c r="F47" s="298"/>
      <c r="G47" s="299"/>
      <c r="H47" s="267">
        <f>SUM(H48:H60)</f>
        <v>40264842</v>
      </c>
      <c r="I47" s="268">
        <f>SUM(I48:I60)</f>
        <v>41895180</v>
      </c>
      <c r="J47" s="242">
        <f>I47-H47</f>
        <v>1630338</v>
      </c>
      <c r="K47" s="269">
        <f aca="true" t="shared" si="26" ref="K47:K60">_xlfn.IFERROR(J47/H47*100,"")</f>
        <v>4.049036129335861</v>
      </c>
      <c r="L47" s="267">
        <f>SUM(L48:L60)</f>
        <v>3049480</v>
      </c>
      <c r="M47" s="268">
        <f>SUM(M48:M60)</f>
        <v>3742193</v>
      </c>
      <c r="N47" s="242">
        <f>M47-L47</f>
        <v>692713</v>
      </c>
      <c r="O47" s="269">
        <f aca="true" t="shared" si="27" ref="O47:O60">_xlfn.IFERROR(N47/L47*100,"")</f>
        <v>22.715774492700394</v>
      </c>
      <c r="P47" s="267">
        <f>SUM(P48:P60)</f>
        <v>1342325</v>
      </c>
      <c r="Q47" s="268">
        <f>SUM(Q48:Q60)</f>
        <v>1670980</v>
      </c>
      <c r="R47" s="242">
        <f>Q47-P47</f>
        <v>328655</v>
      </c>
      <c r="S47" s="250">
        <f aca="true" t="shared" si="28" ref="S47:S60">_xlfn.IFERROR(R47/P47*100,"")</f>
        <v>24.484010951148193</v>
      </c>
      <c r="T47" s="268">
        <f>SUM(T48:T60)</f>
        <v>3168900</v>
      </c>
      <c r="U47" s="268">
        <f>SUM(U48:U60)</f>
        <v>3053288</v>
      </c>
      <c r="V47" s="242">
        <f>U47-T47</f>
        <v>-115612</v>
      </c>
      <c r="W47" s="271">
        <f aca="true" t="shared" si="29" ref="W47:W60">_xlfn.IFERROR(V47/T47*100,"")</f>
        <v>-3.648332228849127</v>
      </c>
    </row>
    <row r="48" spans="1:23" ht="23.25" customHeight="1">
      <c r="A48" s="130"/>
      <c r="B48" s="127"/>
      <c r="C48" s="75" t="s">
        <v>177</v>
      </c>
      <c r="D48" s="340"/>
      <c r="E48" s="341"/>
      <c r="F48" s="298"/>
      <c r="G48" s="299"/>
      <c r="H48" s="321">
        <v>0</v>
      </c>
      <c r="I48" s="321">
        <v>0</v>
      </c>
      <c r="J48" s="147">
        <f aca="true" t="shared" si="30" ref="J48:J58">I48-H48</f>
        <v>0</v>
      </c>
      <c r="K48" s="275">
        <f t="shared" si="26"/>
      </c>
      <c r="L48" s="321">
        <v>0</v>
      </c>
      <c r="M48" s="321">
        <v>0</v>
      </c>
      <c r="N48" s="147">
        <f aca="true" t="shared" si="31" ref="N48:N58">M48-L48</f>
        <v>0</v>
      </c>
      <c r="O48" s="275">
        <f t="shared" si="27"/>
      </c>
      <c r="P48" s="321">
        <v>0</v>
      </c>
      <c r="Q48" s="321">
        <v>0</v>
      </c>
      <c r="R48" s="147">
        <f aca="true" t="shared" si="32" ref="R48:R58">Q48-P48</f>
        <v>0</v>
      </c>
      <c r="S48" s="294">
        <f t="shared" si="28"/>
      </c>
      <c r="T48" s="321">
        <v>0</v>
      </c>
      <c r="U48" s="321">
        <v>0</v>
      </c>
      <c r="V48" s="147">
        <f>U48-T48</f>
        <v>0</v>
      </c>
      <c r="W48" s="243">
        <f t="shared" si="29"/>
      </c>
    </row>
    <row r="49" spans="1:23" ht="23.25" customHeight="1">
      <c r="A49" s="130"/>
      <c r="B49" s="127"/>
      <c r="C49" s="75" t="s">
        <v>178</v>
      </c>
      <c r="D49" s="340"/>
      <c r="E49" s="341"/>
      <c r="F49" s="298"/>
      <c r="G49" s="299"/>
      <c r="H49" s="321">
        <v>0</v>
      </c>
      <c r="I49" s="321">
        <v>0</v>
      </c>
      <c r="J49" s="147">
        <f t="shared" si="30"/>
        <v>0</v>
      </c>
      <c r="K49" s="275">
        <f t="shared" si="26"/>
      </c>
      <c r="L49" s="321">
        <v>0</v>
      </c>
      <c r="M49" s="321">
        <v>0</v>
      </c>
      <c r="N49" s="147">
        <f t="shared" si="31"/>
        <v>0</v>
      </c>
      <c r="O49" s="275">
        <f t="shared" si="27"/>
      </c>
      <c r="P49" s="321">
        <v>0</v>
      </c>
      <c r="Q49" s="321">
        <v>0</v>
      </c>
      <c r="R49" s="147">
        <f t="shared" si="32"/>
        <v>0</v>
      </c>
      <c r="S49" s="294">
        <f t="shared" si="28"/>
      </c>
      <c r="T49" s="321">
        <v>0</v>
      </c>
      <c r="U49" s="321">
        <v>0</v>
      </c>
      <c r="V49" s="147">
        <f aca="true" t="shared" si="33" ref="V49:V58">U49-T49</f>
        <v>0</v>
      </c>
      <c r="W49" s="243">
        <f t="shared" si="29"/>
      </c>
    </row>
    <row r="50" spans="1:23" ht="23.25" customHeight="1">
      <c r="A50" s="130"/>
      <c r="B50" s="127"/>
      <c r="C50" s="75" t="s">
        <v>179</v>
      </c>
      <c r="D50" s="340"/>
      <c r="E50" s="341"/>
      <c r="F50" s="298"/>
      <c r="G50" s="299"/>
      <c r="H50" s="321">
        <v>0</v>
      </c>
      <c r="I50" s="321">
        <v>0</v>
      </c>
      <c r="J50" s="147">
        <f t="shared" si="30"/>
        <v>0</v>
      </c>
      <c r="K50" s="275">
        <f t="shared" si="26"/>
      </c>
      <c r="L50" s="321">
        <v>0</v>
      </c>
      <c r="M50" s="321">
        <v>0</v>
      </c>
      <c r="N50" s="147">
        <f t="shared" si="31"/>
        <v>0</v>
      </c>
      <c r="O50" s="275">
        <f t="shared" si="27"/>
      </c>
      <c r="P50" s="321">
        <v>0</v>
      </c>
      <c r="Q50" s="321">
        <v>0</v>
      </c>
      <c r="R50" s="147">
        <f t="shared" si="32"/>
        <v>0</v>
      </c>
      <c r="S50" s="294">
        <f t="shared" si="28"/>
      </c>
      <c r="T50" s="321">
        <v>0</v>
      </c>
      <c r="U50" s="321">
        <v>0</v>
      </c>
      <c r="V50" s="147">
        <f t="shared" si="33"/>
        <v>0</v>
      </c>
      <c r="W50" s="243">
        <f t="shared" si="29"/>
      </c>
    </row>
    <row r="51" spans="1:23" ht="23.25" customHeight="1">
      <c r="A51" s="130"/>
      <c r="B51" s="127"/>
      <c r="C51" s="75" t="s">
        <v>245</v>
      </c>
      <c r="D51" s="340"/>
      <c r="E51" s="341"/>
      <c r="F51" s="298"/>
      <c r="G51" s="299"/>
      <c r="H51" s="321">
        <v>9391819</v>
      </c>
      <c r="I51" s="321">
        <v>9665628</v>
      </c>
      <c r="J51" s="147">
        <f t="shared" si="30"/>
        <v>273809</v>
      </c>
      <c r="K51" s="275">
        <f t="shared" si="26"/>
        <v>2.9153990297300236</v>
      </c>
      <c r="L51" s="321">
        <v>177031</v>
      </c>
      <c r="M51" s="321">
        <v>124044</v>
      </c>
      <c r="N51" s="147">
        <f t="shared" si="31"/>
        <v>-52987</v>
      </c>
      <c r="O51" s="275">
        <f t="shared" si="27"/>
        <v>-29.930916054250385</v>
      </c>
      <c r="P51" s="321">
        <v>251950</v>
      </c>
      <c r="Q51" s="321">
        <v>219110</v>
      </c>
      <c r="R51" s="147">
        <f t="shared" si="32"/>
        <v>-32840</v>
      </c>
      <c r="S51" s="294">
        <f t="shared" si="28"/>
        <v>-13.034332208771582</v>
      </c>
      <c r="T51" s="321">
        <v>837</v>
      </c>
      <c r="U51" s="321">
        <v>674</v>
      </c>
      <c r="V51" s="147">
        <f t="shared" si="33"/>
        <v>-163</v>
      </c>
      <c r="W51" s="243">
        <f t="shared" si="29"/>
        <v>-19.47431302270012</v>
      </c>
    </row>
    <row r="52" spans="1:23" ht="23.25" customHeight="1">
      <c r="A52" s="130"/>
      <c r="B52" s="127"/>
      <c r="C52" s="75" t="s">
        <v>180</v>
      </c>
      <c r="D52" s="340"/>
      <c r="E52" s="341"/>
      <c r="F52" s="298"/>
      <c r="G52" s="299"/>
      <c r="H52" s="321">
        <v>27394796</v>
      </c>
      <c r="I52" s="321">
        <v>28652819</v>
      </c>
      <c r="J52" s="147">
        <f t="shared" si="30"/>
        <v>1258023</v>
      </c>
      <c r="K52" s="275">
        <f t="shared" si="26"/>
        <v>4.59219699975134</v>
      </c>
      <c r="L52" s="321">
        <v>2829420</v>
      </c>
      <c r="M52" s="321">
        <v>3606642</v>
      </c>
      <c r="N52" s="147">
        <f t="shared" si="31"/>
        <v>777222</v>
      </c>
      <c r="O52" s="275">
        <f t="shared" si="27"/>
        <v>27.46930466314651</v>
      </c>
      <c r="P52" s="321">
        <v>1054533</v>
      </c>
      <c r="Q52" s="321">
        <v>1409305</v>
      </c>
      <c r="R52" s="147">
        <f t="shared" si="32"/>
        <v>354772</v>
      </c>
      <c r="S52" s="294">
        <f t="shared" si="28"/>
        <v>33.64256974414267</v>
      </c>
      <c r="T52" s="321">
        <v>2979391</v>
      </c>
      <c r="U52" s="321">
        <v>2874223</v>
      </c>
      <c r="V52" s="147">
        <f t="shared" si="33"/>
        <v>-105168</v>
      </c>
      <c r="W52" s="243">
        <f t="shared" si="29"/>
        <v>-3.5298488852252023</v>
      </c>
    </row>
    <row r="53" spans="1:23" ht="23.25" customHeight="1">
      <c r="A53" s="130"/>
      <c r="B53" s="127"/>
      <c r="C53" s="75" t="s">
        <v>181</v>
      </c>
      <c r="D53" s="340"/>
      <c r="E53" s="341"/>
      <c r="F53" s="298"/>
      <c r="G53" s="299"/>
      <c r="H53" s="321">
        <v>895678</v>
      </c>
      <c r="I53" s="321">
        <v>942297</v>
      </c>
      <c r="J53" s="147">
        <f t="shared" si="30"/>
        <v>46619</v>
      </c>
      <c r="K53" s="275">
        <f t="shared" si="26"/>
        <v>5.2048838980079895</v>
      </c>
      <c r="L53" s="321">
        <v>861</v>
      </c>
      <c r="M53" s="321">
        <v>273</v>
      </c>
      <c r="N53" s="147">
        <f t="shared" si="31"/>
        <v>-588</v>
      </c>
      <c r="O53" s="275">
        <f t="shared" si="27"/>
        <v>-68.29268292682927</v>
      </c>
      <c r="P53" s="321">
        <v>0</v>
      </c>
      <c r="Q53" s="321">
        <v>0</v>
      </c>
      <c r="R53" s="147">
        <f t="shared" si="32"/>
        <v>0</v>
      </c>
      <c r="S53" s="294">
        <f t="shared" si="28"/>
      </c>
      <c r="T53" s="321">
        <v>11828</v>
      </c>
      <c r="U53" s="321">
        <v>10369</v>
      </c>
      <c r="V53" s="147">
        <f t="shared" si="33"/>
        <v>-1459</v>
      </c>
      <c r="W53" s="243">
        <f t="shared" si="29"/>
        <v>-12.335136963138316</v>
      </c>
    </row>
    <row r="54" spans="1:23" ht="23.25" customHeight="1">
      <c r="A54" s="130"/>
      <c r="B54" s="127"/>
      <c r="C54" s="75" t="s">
        <v>182</v>
      </c>
      <c r="D54" s="340"/>
      <c r="E54" s="341"/>
      <c r="F54" s="298"/>
      <c r="G54" s="299"/>
      <c r="H54" s="321">
        <v>177018</v>
      </c>
      <c r="I54" s="321">
        <v>168970</v>
      </c>
      <c r="J54" s="147">
        <f t="shared" si="30"/>
        <v>-8048</v>
      </c>
      <c r="K54" s="275">
        <f t="shared" si="26"/>
        <v>-4.546430306522501</v>
      </c>
      <c r="L54" s="321">
        <v>0</v>
      </c>
      <c r="M54" s="321">
        <v>0</v>
      </c>
      <c r="N54" s="147">
        <f t="shared" si="31"/>
        <v>0</v>
      </c>
      <c r="O54" s="275">
        <f t="shared" si="27"/>
      </c>
      <c r="P54" s="321">
        <v>0</v>
      </c>
      <c r="Q54" s="321">
        <v>0</v>
      </c>
      <c r="R54" s="147">
        <f t="shared" si="32"/>
        <v>0</v>
      </c>
      <c r="S54" s="294">
        <f t="shared" si="28"/>
      </c>
      <c r="T54" s="321">
        <v>3692</v>
      </c>
      <c r="U54" s="321">
        <v>4098</v>
      </c>
      <c r="V54" s="147">
        <f t="shared" si="33"/>
        <v>406</v>
      </c>
      <c r="W54" s="243">
        <f t="shared" si="29"/>
        <v>10.996749729144096</v>
      </c>
    </row>
    <row r="55" spans="1:23" ht="23.25" customHeight="1">
      <c r="A55" s="130"/>
      <c r="B55" s="127"/>
      <c r="C55" s="75" t="s">
        <v>38</v>
      </c>
      <c r="D55" s="340"/>
      <c r="E55" s="341"/>
      <c r="F55" s="298"/>
      <c r="G55" s="299"/>
      <c r="H55" s="321">
        <v>2189438</v>
      </c>
      <c r="I55" s="321">
        <v>2256575</v>
      </c>
      <c r="J55" s="147">
        <f t="shared" si="30"/>
        <v>67137</v>
      </c>
      <c r="K55" s="275">
        <f t="shared" si="26"/>
        <v>3.0664033418621583</v>
      </c>
      <c r="L55" s="321">
        <v>11660</v>
      </c>
      <c r="M55" s="321">
        <v>7997</v>
      </c>
      <c r="N55" s="147">
        <f t="shared" si="31"/>
        <v>-3663</v>
      </c>
      <c r="O55" s="275">
        <f t="shared" si="27"/>
        <v>-31.41509433962264</v>
      </c>
      <c r="P55" s="321">
        <v>35842</v>
      </c>
      <c r="Q55" s="321">
        <v>42565</v>
      </c>
      <c r="R55" s="147">
        <f t="shared" si="32"/>
        <v>6723</v>
      </c>
      <c r="S55" s="294">
        <f t="shared" si="28"/>
        <v>18.757323810055244</v>
      </c>
      <c r="T55" s="321">
        <v>156864</v>
      </c>
      <c r="U55" s="321">
        <v>147625</v>
      </c>
      <c r="V55" s="147">
        <f t="shared" si="33"/>
        <v>-9239</v>
      </c>
      <c r="W55" s="243">
        <f t="shared" si="29"/>
        <v>-5.889815381476948</v>
      </c>
    </row>
    <row r="56" spans="1:23" ht="23.25" customHeight="1">
      <c r="A56" s="130"/>
      <c r="B56" s="127"/>
      <c r="C56" s="75" t="s">
        <v>183</v>
      </c>
      <c r="D56" s="340"/>
      <c r="E56" s="341"/>
      <c r="F56" s="298"/>
      <c r="G56" s="299"/>
      <c r="H56" s="321">
        <v>216093</v>
      </c>
      <c r="I56" s="321">
        <v>208891</v>
      </c>
      <c r="J56" s="147">
        <f t="shared" si="30"/>
        <v>-7202</v>
      </c>
      <c r="K56" s="275">
        <f t="shared" si="26"/>
        <v>-3.3328242932441126</v>
      </c>
      <c r="L56" s="321">
        <v>30508</v>
      </c>
      <c r="M56" s="321">
        <v>3237</v>
      </c>
      <c r="N56" s="147">
        <f t="shared" si="31"/>
        <v>-27271</v>
      </c>
      <c r="O56" s="275">
        <f t="shared" si="27"/>
        <v>-89.38966828372887</v>
      </c>
      <c r="P56" s="321">
        <v>0</v>
      </c>
      <c r="Q56" s="321">
        <v>0</v>
      </c>
      <c r="R56" s="147">
        <f t="shared" si="32"/>
        <v>0</v>
      </c>
      <c r="S56" s="294">
        <f t="shared" si="28"/>
      </c>
      <c r="T56" s="321">
        <v>16288</v>
      </c>
      <c r="U56" s="321">
        <v>16299</v>
      </c>
      <c r="V56" s="147">
        <f t="shared" si="33"/>
        <v>11</v>
      </c>
      <c r="W56" s="243">
        <f t="shared" si="29"/>
        <v>0.06753438113948919</v>
      </c>
    </row>
    <row r="57" spans="1:23" ht="23.25" customHeight="1">
      <c r="A57" s="130"/>
      <c r="B57" s="127"/>
      <c r="C57" s="75" t="s">
        <v>184</v>
      </c>
      <c r="D57" s="340"/>
      <c r="E57" s="341"/>
      <c r="F57" s="298"/>
      <c r="G57" s="299"/>
      <c r="H57" s="321">
        <v>0</v>
      </c>
      <c r="I57" s="321">
        <v>0</v>
      </c>
      <c r="J57" s="147">
        <f t="shared" si="30"/>
        <v>0</v>
      </c>
      <c r="K57" s="275">
        <f t="shared" si="26"/>
      </c>
      <c r="L57" s="321">
        <v>0</v>
      </c>
      <c r="M57" s="321">
        <v>0</v>
      </c>
      <c r="N57" s="147">
        <f t="shared" si="31"/>
        <v>0</v>
      </c>
      <c r="O57" s="275">
        <f t="shared" si="27"/>
      </c>
      <c r="P57" s="321">
        <v>0</v>
      </c>
      <c r="Q57" s="321">
        <v>0</v>
      </c>
      <c r="R57" s="147">
        <f t="shared" si="32"/>
        <v>0</v>
      </c>
      <c r="S57" s="294">
        <f t="shared" si="28"/>
      </c>
      <c r="T57" s="321">
        <v>0</v>
      </c>
      <c r="U57" s="321">
        <v>0</v>
      </c>
      <c r="V57" s="147">
        <f t="shared" si="33"/>
        <v>0</v>
      </c>
      <c r="W57" s="243">
        <f t="shared" si="29"/>
      </c>
    </row>
    <row r="58" spans="1:23" ht="23.25" customHeight="1">
      <c r="A58" s="130"/>
      <c r="B58" s="127"/>
      <c r="C58" s="75" t="s">
        <v>185</v>
      </c>
      <c r="D58" s="340"/>
      <c r="E58" s="341"/>
      <c r="F58" s="298"/>
      <c r="G58" s="299"/>
      <c r="H58" s="321">
        <v>0</v>
      </c>
      <c r="I58" s="321">
        <v>0</v>
      </c>
      <c r="J58" s="147">
        <f t="shared" si="30"/>
        <v>0</v>
      </c>
      <c r="K58" s="275">
        <f t="shared" si="26"/>
      </c>
      <c r="L58" s="321">
        <v>0</v>
      </c>
      <c r="M58" s="321">
        <v>0</v>
      </c>
      <c r="N58" s="147">
        <f t="shared" si="31"/>
        <v>0</v>
      </c>
      <c r="O58" s="275">
        <f t="shared" si="27"/>
      </c>
      <c r="P58" s="321">
        <v>0</v>
      </c>
      <c r="Q58" s="321">
        <v>0</v>
      </c>
      <c r="R58" s="147">
        <f t="shared" si="32"/>
        <v>0</v>
      </c>
      <c r="S58" s="294">
        <f t="shared" si="28"/>
      </c>
      <c r="T58" s="321">
        <v>0</v>
      </c>
      <c r="U58" s="321">
        <v>0</v>
      </c>
      <c r="V58" s="147">
        <f t="shared" si="33"/>
        <v>0</v>
      </c>
      <c r="W58" s="243">
        <f t="shared" si="29"/>
      </c>
    </row>
    <row r="59" spans="1:23" ht="23.25" customHeight="1">
      <c r="A59" s="130"/>
      <c r="B59" s="127"/>
      <c r="C59" s="75" t="s">
        <v>320</v>
      </c>
      <c r="D59" s="340"/>
      <c r="E59" s="341"/>
      <c r="F59" s="298"/>
      <c r="G59" s="299"/>
      <c r="H59" s="321">
        <v>0</v>
      </c>
      <c r="I59" s="321">
        <v>0</v>
      </c>
      <c r="J59" s="147">
        <f>I59-H59</f>
        <v>0</v>
      </c>
      <c r="K59" s="275">
        <f t="shared" si="26"/>
      </c>
      <c r="L59" s="321">
        <v>0</v>
      </c>
      <c r="M59" s="321">
        <v>0</v>
      </c>
      <c r="N59" s="147">
        <f>M59-L59</f>
        <v>0</v>
      </c>
      <c r="O59" s="275">
        <f t="shared" si="27"/>
      </c>
      <c r="P59" s="321">
        <v>0</v>
      </c>
      <c r="Q59" s="321">
        <v>0</v>
      </c>
      <c r="R59" s="147">
        <f>Q59-P59</f>
        <v>0</v>
      </c>
      <c r="S59" s="294">
        <f t="shared" si="28"/>
      </c>
      <c r="T59" s="321">
        <v>0</v>
      </c>
      <c r="U59" s="321">
        <v>0</v>
      </c>
      <c r="V59" s="147">
        <f>U59-T59</f>
        <v>0</v>
      </c>
      <c r="W59" s="243">
        <f t="shared" si="29"/>
      </c>
    </row>
    <row r="60" spans="1:23" ht="23.25" customHeight="1">
      <c r="A60" s="130"/>
      <c r="B60" s="127"/>
      <c r="C60" s="75" t="s">
        <v>319</v>
      </c>
      <c r="D60" s="340"/>
      <c r="E60" s="341"/>
      <c r="F60" s="298"/>
      <c r="G60" s="299"/>
      <c r="H60" s="321">
        <v>0</v>
      </c>
      <c r="I60" s="321">
        <v>0</v>
      </c>
      <c r="J60" s="147">
        <f>I60-H60</f>
        <v>0</v>
      </c>
      <c r="K60" s="275">
        <f t="shared" si="26"/>
      </c>
      <c r="L60" s="321">
        <v>0</v>
      </c>
      <c r="M60" s="321">
        <v>0</v>
      </c>
      <c r="N60" s="147">
        <f>M60-L60</f>
        <v>0</v>
      </c>
      <c r="O60" s="275">
        <f t="shared" si="27"/>
      </c>
      <c r="P60" s="321">
        <v>0</v>
      </c>
      <c r="Q60" s="321">
        <v>0</v>
      </c>
      <c r="R60" s="147">
        <f>Q60-P60</f>
        <v>0</v>
      </c>
      <c r="S60" s="294">
        <f t="shared" si="28"/>
      </c>
      <c r="T60" s="321">
        <v>0</v>
      </c>
      <c r="U60" s="321">
        <v>0</v>
      </c>
      <c r="V60" s="147">
        <f>U60-T60</f>
        <v>0</v>
      </c>
      <c r="W60" s="243">
        <f t="shared" si="29"/>
      </c>
    </row>
    <row r="61" spans="1:23" ht="23.25" customHeight="1">
      <c r="A61" s="130"/>
      <c r="B61" s="127"/>
      <c r="C61" s="75"/>
      <c r="D61" s="342"/>
      <c r="E61" s="343"/>
      <c r="F61" s="244"/>
      <c r="G61" s="277"/>
      <c r="H61" s="311"/>
      <c r="I61" s="311"/>
      <c r="J61" s="147"/>
      <c r="K61" s="275"/>
      <c r="L61" s="311"/>
      <c r="M61" s="311"/>
      <c r="N61" s="147"/>
      <c r="O61" s="275"/>
      <c r="P61" s="311"/>
      <c r="Q61" s="311"/>
      <c r="R61" s="147"/>
      <c r="S61" s="294"/>
      <c r="T61" s="317"/>
      <c r="U61" s="317"/>
      <c r="V61" s="147"/>
      <c r="W61" s="243"/>
    </row>
    <row r="62" spans="1:24" ht="23.25" customHeight="1">
      <c r="A62" s="130"/>
      <c r="B62" s="126" t="s">
        <v>272</v>
      </c>
      <c r="C62" s="74" t="s">
        <v>135</v>
      </c>
      <c r="D62" s="267">
        <f>SUM(D63:D72)</f>
        <v>0</v>
      </c>
      <c r="E62" s="344">
        <f>SUM(E63:E72)</f>
        <v>0</v>
      </c>
      <c r="F62" s="242">
        <f>E62-D62</f>
        <v>0</v>
      </c>
      <c r="G62" s="269">
        <f>_xlfn.IFERROR(F62/D62*100,"")</f>
      </c>
      <c r="H62" s="268">
        <f>SUM(H63:H72)</f>
        <v>1796438</v>
      </c>
      <c r="I62" s="268">
        <f>SUM(I63:I72)</f>
        <v>1646282</v>
      </c>
      <c r="J62" s="242">
        <f aca="true" t="shared" si="34" ref="J62:J72">I62-H62</f>
        <v>-150156</v>
      </c>
      <c r="K62" s="269">
        <f>_xlfn.IFERROR(J62/H62*100,"")</f>
        <v>-8.35854062316651</v>
      </c>
      <c r="L62" s="268">
        <f>SUM(L63:L72)</f>
        <v>228222</v>
      </c>
      <c r="M62" s="268">
        <f>SUM(M63:M72)</f>
        <v>193688</v>
      </c>
      <c r="N62" s="242">
        <f>M62-L62</f>
        <v>-34534</v>
      </c>
      <c r="O62" s="269">
        <f>_xlfn.IFERROR(N62/L62*100,"")</f>
        <v>-15.13175767454496</v>
      </c>
      <c r="P62" s="268">
        <f>SUM(P63:P72)</f>
        <v>5694</v>
      </c>
      <c r="Q62" s="268">
        <f>SUM(Q63:Q72)</f>
        <v>16335</v>
      </c>
      <c r="R62" s="242">
        <f>Q62-P62</f>
        <v>10641</v>
      </c>
      <c r="S62" s="250">
        <f>_xlfn.IFERROR(R62/P62*100,"")</f>
        <v>186.8809272918862</v>
      </c>
      <c r="T62" s="324">
        <v>57551</v>
      </c>
      <c r="U62" s="324">
        <v>71066</v>
      </c>
      <c r="V62" s="242">
        <f>U62-T62</f>
        <v>13515</v>
      </c>
      <c r="W62" s="271">
        <f>_xlfn.IFERROR(V62/T62*100,"")</f>
        <v>23.483518965786867</v>
      </c>
      <c r="X62" s="257"/>
    </row>
    <row r="63" spans="1:24" ht="23.25" customHeight="1">
      <c r="A63" s="130"/>
      <c r="B63" s="127"/>
      <c r="C63" s="75" t="s">
        <v>187</v>
      </c>
      <c r="D63" s="283">
        <v>0</v>
      </c>
      <c r="E63" s="345">
        <v>0</v>
      </c>
      <c r="F63" s="147">
        <f aca="true" t="shared" si="35" ref="F63:F72">E63-D63</f>
        <v>0</v>
      </c>
      <c r="G63" s="275">
        <f aca="true" t="shared" si="36" ref="G63:G72">_xlfn.IFERROR(F63/D63*100,"")</f>
      </c>
      <c r="H63" s="321">
        <v>0</v>
      </c>
      <c r="I63" s="321">
        <v>0</v>
      </c>
      <c r="J63" s="147">
        <f t="shared" si="34"/>
        <v>0</v>
      </c>
      <c r="K63" s="275">
        <f aca="true" t="shared" si="37" ref="K63:K72">_xlfn.IFERROR(J63/H63*100,"")</f>
      </c>
      <c r="L63" s="321">
        <v>0</v>
      </c>
      <c r="M63" s="321">
        <v>0</v>
      </c>
      <c r="N63" s="147">
        <f aca="true" t="shared" si="38" ref="N63:N72">M63-L63</f>
        <v>0</v>
      </c>
      <c r="O63" s="275">
        <f aca="true" t="shared" si="39" ref="O63:O74">_xlfn.IFERROR(N63/L63*100,"")</f>
      </c>
      <c r="P63" s="321">
        <v>0</v>
      </c>
      <c r="Q63" s="321">
        <v>0</v>
      </c>
      <c r="R63" s="147">
        <f aca="true" t="shared" si="40" ref="R63:R72">Q63-P63</f>
        <v>0</v>
      </c>
      <c r="S63" s="294">
        <f aca="true" t="shared" si="41" ref="S63:S74">_xlfn.IFERROR(R63/P63*100,"")</f>
      </c>
      <c r="T63" s="453"/>
      <c r="U63" s="347"/>
      <c r="V63" s="302"/>
      <c r="W63" s="243">
        <f aca="true" t="shared" si="42" ref="W63:W74">_xlfn.IFERROR(V63/T63*100,"")</f>
      </c>
      <c r="X63" s="258"/>
    </row>
    <row r="64" spans="1:24" ht="23.25" customHeight="1">
      <c r="A64" s="130"/>
      <c r="B64" s="127"/>
      <c r="C64" s="75" t="s">
        <v>188</v>
      </c>
      <c r="D64" s="283">
        <v>0</v>
      </c>
      <c r="E64" s="345">
        <v>0</v>
      </c>
      <c r="F64" s="147">
        <f t="shared" si="35"/>
        <v>0</v>
      </c>
      <c r="G64" s="275">
        <f t="shared" si="36"/>
      </c>
      <c r="H64" s="321">
        <v>154780</v>
      </c>
      <c r="I64" s="321">
        <v>204032</v>
      </c>
      <c r="J64" s="147">
        <f t="shared" si="34"/>
        <v>49252</v>
      </c>
      <c r="K64" s="275">
        <f t="shared" si="37"/>
        <v>31.820648662617913</v>
      </c>
      <c r="L64" s="321">
        <v>32587</v>
      </c>
      <c r="M64" s="321">
        <v>33364</v>
      </c>
      <c r="N64" s="147">
        <f t="shared" si="38"/>
        <v>777</v>
      </c>
      <c r="O64" s="275">
        <f t="shared" si="39"/>
        <v>2.3843864117592903</v>
      </c>
      <c r="P64" s="321">
        <v>0</v>
      </c>
      <c r="Q64" s="321">
        <v>0</v>
      </c>
      <c r="R64" s="147">
        <f t="shared" si="40"/>
        <v>0</v>
      </c>
      <c r="S64" s="275">
        <f t="shared" si="41"/>
      </c>
      <c r="T64" s="346"/>
      <c r="U64" s="347"/>
      <c r="V64" s="302"/>
      <c r="W64" s="243">
        <f t="shared" si="42"/>
      </c>
      <c r="X64" s="258"/>
    </row>
    <row r="65" spans="1:24" ht="23.25" customHeight="1">
      <c r="A65" s="130"/>
      <c r="B65" s="127"/>
      <c r="C65" s="75" t="s">
        <v>189</v>
      </c>
      <c r="D65" s="283">
        <v>0</v>
      </c>
      <c r="E65" s="345">
        <v>0</v>
      </c>
      <c r="F65" s="147">
        <f t="shared" si="35"/>
        <v>0</v>
      </c>
      <c r="G65" s="275">
        <f t="shared" si="36"/>
      </c>
      <c r="H65" s="321">
        <v>1311028</v>
      </c>
      <c r="I65" s="321">
        <v>1078795</v>
      </c>
      <c r="J65" s="147">
        <f t="shared" si="34"/>
        <v>-232233</v>
      </c>
      <c r="K65" s="275">
        <f t="shared" si="37"/>
        <v>-17.71380931604817</v>
      </c>
      <c r="L65" s="321">
        <v>195635</v>
      </c>
      <c r="M65" s="321">
        <v>160324</v>
      </c>
      <c r="N65" s="147">
        <f t="shared" si="38"/>
        <v>-35311</v>
      </c>
      <c r="O65" s="275">
        <f t="shared" si="39"/>
        <v>-18.049428783193193</v>
      </c>
      <c r="P65" s="321">
        <v>5694</v>
      </c>
      <c r="Q65" s="321">
        <v>16335</v>
      </c>
      <c r="R65" s="147">
        <f t="shared" si="40"/>
        <v>10641</v>
      </c>
      <c r="S65" s="275">
        <f t="shared" si="41"/>
        <v>186.8809272918862</v>
      </c>
      <c r="T65" s="346"/>
      <c r="U65" s="347"/>
      <c r="V65" s="302"/>
      <c r="W65" s="243">
        <f t="shared" si="42"/>
      </c>
      <c r="X65" s="258"/>
    </row>
    <row r="66" spans="1:24" ht="23.25" customHeight="1">
      <c r="A66" s="130"/>
      <c r="B66" s="127"/>
      <c r="C66" s="75" t="s">
        <v>190</v>
      </c>
      <c r="D66" s="283">
        <v>0</v>
      </c>
      <c r="E66" s="345">
        <v>0</v>
      </c>
      <c r="F66" s="147">
        <f t="shared" si="35"/>
        <v>0</v>
      </c>
      <c r="G66" s="275">
        <f t="shared" si="36"/>
      </c>
      <c r="H66" s="321">
        <v>0</v>
      </c>
      <c r="I66" s="321">
        <v>0</v>
      </c>
      <c r="J66" s="147">
        <f t="shared" si="34"/>
        <v>0</v>
      </c>
      <c r="K66" s="275">
        <f t="shared" si="37"/>
      </c>
      <c r="L66" s="321">
        <v>0</v>
      </c>
      <c r="M66" s="321">
        <v>0</v>
      </c>
      <c r="N66" s="147">
        <f t="shared" si="38"/>
        <v>0</v>
      </c>
      <c r="O66" s="275">
        <f t="shared" si="39"/>
      </c>
      <c r="P66" s="321">
        <v>0</v>
      </c>
      <c r="Q66" s="321">
        <v>0</v>
      </c>
      <c r="R66" s="147">
        <f t="shared" si="40"/>
        <v>0</v>
      </c>
      <c r="S66" s="275">
        <f t="shared" si="41"/>
      </c>
      <c r="T66" s="346"/>
      <c r="U66" s="347"/>
      <c r="V66" s="302"/>
      <c r="W66" s="243">
        <f t="shared" si="42"/>
      </c>
      <c r="X66" s="258"/>
    </row>
    <row r="67" spans="1:24" ht="23.25" customHeight="1">
      <c r="A67" s="130"/>
      <c r="B67" s="127"/>
      <c r="C67" s="75" t="s">
        <v>191</v>
      </c>
      <c r="D67" s="283">
        <v>0</v>
      </c>
      <c r="E67" s="345">
        <v>0</v>
      </c>
      <c r="F67" s="147">
        <f t="shared" si="35"/>
        <v>0</v>
      </c>
      <c r="G67" s="275">
        <f t="shared" si="36"/>
      </c>
      <c r="H67" s="321">
        <v>37791</v>
      </c>
      <c r="I67" s="321">
        <v>36477</v>
      </c>
      <c r="J67" s="147">
        <f t="shared" si="34"/>
        <v>-1314</v>
      </c>
      <c r="K67" s="275">
        <f t="shared" si="37"/>
        <v>-3.477018337699452</v>
      </c>
      <c r="L67" s="321">
        <v>0</v>
      </c>
      <c r="M67" s="321">
        <v>0</v>
      </c>
      <c r="N67" s="147">
        <f t="shared" si="38"/>
        <v>0</v>
      </c>
      <c r="O67" s="275">
        <f t="shared" si="39"/>
      </c>
      <c r="P67" s="321">
        <v>0</v>
      </c>
      <c r="Q67" s="321">
        <v>0</v>
      </c>
      <c r="R67" s="147">
        <f t="shared" si="40"/>
        <v>0</v>
      </c>
      <c r="S67" s="275">
        <f t="shared" si="41"/>
      </c>
      <c r="T67" s="346"/>
      <c r="U67" s="347"/>
      <c r="V67" s="302"/>
      <c r="W67" s="243">
        <f t="shared" si="42"/>
      </c>
      <c r="X67" s="258"/>
    </row>
    <row r="68" spans="1:24" ht="23.25" customHeight="1">
      <c r="A68" s="130"/>
      <c r="B68" s="127"/>
      <c r="C68" s="75" t="s">
        <v>192</v>
      </c>
      <c r="D68" s="283">
        <v>0</v>
      </c>
      <c r="E68" s="345">
        <v>0</v>
      </c>
      <c r="F68" s="147">
        <f t="shared" si="35"/>
        <v>0</v>
      </c>
      <c r="G68" s="275">
        <f t="shared" si="36"/>
      </c>
      <c r="H68" s="321">
        <v>0</v>
      </c>
      <c r="I68" s="321">
        <v>0</v>
      </c>
      <c r="J68" s="147">
        <f t="shared" si="34"/>
        <v>0</v>
      </c>
      <c r="K68" s="275">
        <f t="shared" si="37"/>
      </c>
      <c r="L68" s="321">
        <v>0</v>
      </c>
      <c r="M68" s="321">
        <v>0</v>
      </c>
      <c r="N68" s="147">
        <f t="shared" si="38"/>
        <v>0</v>
      </c>
      <c r="O68" s="275">
        <f t="shared" si="39"/>
      </c>
      <c r="P68" s="321">
        <v>0</v>
      </c>
      <c r="Q68" s="321">
        <v>0</v>
      </c>
      <c r="R68" s="147">
        <f t="shared" si="40"/>
        <v>0</v>
      </c>
      <c r="S68" s="275">
        <f t="shared" si="41"/>
      </c>
      <c r="T68" s="346"/>
      <c r="U68" s="347"/>
      <c r="V68" s="302"/>
      <c r="W68" s="243">
        <f t="shared" si="42"/>
      </c>
      <c r="X68" s="258"/>
    </row>
    <row r="69" spans="1:24" ht="23.25" customHeight="1">
      <c r="A69" s="130"/>
      <c r="B69" s="127"/>
      <c r="C69" s="75" t="s">
        <v>193</v>
      </c>
      <c r="D69" s="283">
        <v>0</v>
      </c>
      <c r="E69" s="345">
        <v>0</v>
      </c>
      <c r="F69" s="147">
        <f t="shared" si="35"/>
        <v>0</v>
      </c>
      <c r="G69" s="275">
        <f t="shared" si="36"/>
      </c>
      <c r="H69" s="321">
        <v>0</v>
      </c>
      <c r="I69" s="321">
        <v>0</v>
      </c>
      <c r="J69" s="147">
        <f t="shared" si="34"/>
        <v>0</v>
      </c>
      <c r="K69" s="275">
        <f t="shared" si="37"/>
      </c>
      <c r="L69" s="321">
        <v>0</v>
      </c>
      <c r="M69" s="321">
        <v>0</v>
      </c>
      <c r="N69" s="147">
        <f t="shared" si="38"/>
        <v>0</v>
      </c>
      <c r="O69" s="275">
        <f t="shared" si="39"/>
      </c>
      <c r="P69" s="321">
        <v>0</v>
      </c>
      <c r="Q69" s="321">
        <v>0</v>
      </c>
      <c r="R69" s="147">
        <f t="shared" si="40"/>
        <v>0</v>
      </c>
      <c r="S69" s="275">
        <f t="shared" si="41"/>
      </c>
      <c r="T69" s="346"/>
      <c r="U69" s="347"/>
      <c r="V69" s="302"/>
      <c r="W69" s="243">
        <f t="shared" si="42"/>
      </c>
      <c r="X69" s="258"/>
    </row>
    <row r="70" spans="1:24" ht="23.25" customHeight="1">
      <c r="A70" s="130"/>
      <c r="B70" s="127"/>
      <c r="C70" s="75" t="s">
        <v>194</v>
      </c>
      <c r="D70" s="283">
        <v>0</v>
      </c>
      <c r="E70" s="345">
        <v>0</v>
      </c>
      <c r="F70" s="147">
        <f t="shared" si="35"/>
        <v>0</v>
      </c>
      <c r="G70" s="275">
        <f t="shared" si="36"/>
      </c>
      <c r="H70" s="321">
        <v>156879</v>
      </c>
      <c r="I70" s="321">
        <v>155275</v>
      </c>
      <c r="J70" s="147">
        <f t="shared" si="34"/>
        <v>-1604</v>
      </c>
      <c r="K70" s="275">
        <f t="shared" si="37"/>
        <v>-1.0224440492353981</v>
      </c>
      <c r="L70" s="321">
        <v>0</v>
      </c>
      <c r="M70" s="321">
        <v>0</v>
      </c>
      <c r="N70" s="147">
        <f t="shared" si="38"/>
        <v>0</v>
      </c>
      <c r="O70" s="275">
        <f t="shared" si="39"/>
      </c>
      <c r="P70" s="321">
        <v>0</v>
      </c>
      <c r="Q70" s="321">
        <v>0</v>
      </c>
      <c r="R70" s="147">
        <f t="shared" si="40"/>
        <v>0</v>
      </c>
      <c r="S70" s="275">
        <f t="shared" si="41"/>
      </c>
      <c r="T70" s="346"/>
      <c r="U70" s="347"/>
      <c r="V70" s="302"/>
      <c r="W70" s="243">
        <f t="shared" si="42"/>
      </c>
      <c r="X70" s="258"/>
    </row>
    <row r="71" spans="1:24" ht="23.25" customHeight="1">
      <c r="A71" s="130"/>
      <c r="B71" s="127"/>
      <c r="C71" s="76" t="s">
        <v>195</v>
      </c>
      <c r="D71" s="283">
        <v>0</v>
      </c>
      <c r="E71" s="345">
        <v>0</v>
      </c>
      <c r="F71" s="147">
        <f t="shared" si="35"/>
        <v>0</v>
      </c>
      <c r="G71" s="275">
        <f t="shared" si="36"/>
      </c>
      <c r="H71" s="321">
        <v>61614</v>
      </c>
      <c r="I71" s="321">
        <v>99980</v>
      </c>
      <c r="J71" s="147">
        <f t="shared" si="34"/>
        <v>38366</v>
      </c>
      <c r="K71" s="275">
        <f t="shared" si="37"/>
        <v>62.268315642548764</v>
      </c>
      <c r="L71" s="321">
        <v>0</v>
      </c>
      <c r="M71" s="321">
        <v>0</v>
      </c>
      <c r="N71" s="147">
        <f t="shared" si="38"/>
        <v>0</v>
      </c>
      <c r="O71" s="275">
        <f t="shared" si="39"/>
      </c>
      <c r="P71" s="321">
        <v>0</v>
      </c>
      <c r="Q71" s="321">
        <v>0</v>
      </c>
      <c r="R71" s="147">
        <f t="shared" si="40"/>
        <v>0</v>
      </c>
      <c r="S71" s="275">
        <f t="shared" si="41"/>
      </c>
      <c r="T71" s="346"/>
      <c r="U71" s="347"/>
      <c r="V71" s="302"/>
      <c r="W71" s="243">
        <f t="shared" si="42"/>
      </c>
      <c r="X71" s="258"/>
    </row>
    <row r="72" spans="1:24" ht="23.25" customHeight="1">
      <c r="A72" s="130"/>
      <c r="B72" s="127"/>
      <c r="C72" s="75" t="s">
        <v>196</v>
      </c>
      <c r="D72" s="283">
        <v>0</v>
      </c>
      <c r="E72" s="345">
        <v>0</v>
      </c>
      <c r="F72" s="147">
        <f t="shared" si="35"/>
        <v>0</v>
      </c>
      <c r="G72" s="275">
        <f t="shared" si="36"/>
      </c>
      <c r="H72" s="321">
        <v>74346</v>
      </c>
      <c r="I72" s="321">
        <v>71723</v>
      </c>
      <c r="J72" s="147">
        <f t="shared" si="34"/>
        <v>-2623</v>
      </c>
      <c r="K72" s="275">
        <f t="shared" si="37"/>
        <v>-3.528098350953649</v>
      </c>
      <c r="L72" s="321">
        <v>0</v>
      </c>
      <c r="M72" s="321">
        <v>0</v>
      </c>
      <c r="N72" s="147">
        <f t="shared" si="38"/>
        <v>0</v>
      </c>
      <c r="O72" s="275">
        <f t="shared" si="39"/>
      </c>
      <c r="P72" s="321">
        <v>0</v>
      </c>
      <c r="Q72" s="321">
        <v>0</v>
      </c>
      <c r="R72" s="147">
        <f t="shared" si="40"/>
        <v>0</v>
      </c>
      <c r="S72" s="275">
        <f t="shared" si="41"/>
      </c>
      <c r="T72" s="346"/>
      <c r="U72" s="347"/>
      <c r="V72" s="302"/>
      <c r="W72" s="243">
        <f t="shared" si="42"/>
      </c>
      <c r="X72" s="258"/>
    </row>
    <row r="73" spans="1:23" ht="23.25" customHeight="1">
      <c r="A73" s="130"/>
      <c r="B73" s="127"/>
      <c r="C73" s="75"/>
      <c r="D73" s="272"/>
      <c r="E73" s="349"/>
      <c r="F73" s="244"/>
      <c r="G73" s="277"/>
      <c r="H73" s="317"/>
      <c r="I73" s="317"/>
      <c r="J73" s="147"/>
      <c r="K73" s="275"/>
      <c r="L73" s="317"/>
      <c r="M73" s="317"/>
      <c r="N73" s="147"/>
      <c r="O73" s="275"/>
      <c r="P73" s="317"/>
      <c r="Q73" s="317"/>
      <c r="R73" s="147"/>
      <c r="S73" s="275"/>
      <c r="T73" s="339"/>
      <c r="U73" s="311"/>
      <c r="V73" s="244"/>
      <c r="W73" s="243"/>
    </row>
    <row r="74" spans="1:23" ht="23.25" customHeight="1">
      <c r="A74" s="130"/>
      <c r="B74" s="126" t="s">
        <v>273</v>
      </c>
      <c r="C74" s="74" t="s">
        <v>135</v>
      </c>
      <c r="D74" s="296"/>
      <c r="E74" s="351"/>
      <c r="F74" s="304"/>
      <c r="G74" s="305"/>
      <c r="H74" s="352">
        <v>4218860</v>
      </c>
      <c r="I74" s="352">
        <v>4841167</v>
      </c>
      <c r="J74" s="242">
        <f>I74-H74</f>
        <v>622307</v>
      </c>
      <c r="K74" s="269">
        <f>_xlfn.IFERROR(J74/H74*100,"")</f>
        <v>14.750596132604542</v>
      </c>
      <c r="L74" s="324">
        <v>36326</v>
      </c>
      <c r="M74" s="324">
        <v>5879</v>
      </c>
      <c r="N74" s="242">
        <f>M74-L74</f>
        <v>-30447</v>
      </c>
      <c r="O74" s="269">
        <f t="shared" si="39"/>
        <v>-83.81599955954412</v>
      </c>
      <c r="P74" s="324">
        <v>614</v>
      </c>
      <c r="Q74" s="324">
        <v>602</v>
      </c>
      <c r="R74" s="242">
        <f>Q74-P74</f>
        <v>-12</v>
      </c>
      <c r="S74" s="250">
        <f t="shared" si="41"/>
        <v>-1.9543973941368076</v>
      </c>
      <c r="T74" s="438">
        <v>408871</v>
      </c>
      <c r="U74" s="437">
        <v>402252</v>
      </c>
      <c r="V74" s="242">
        <f>U74-T74</f>
        <v>-6619</v>
      </c>
      <c r="W74" s="271">
        <f t="shared" si="42"/>
        <v>-1.6188479985129784</v>
      </c>
    </row>
    <row r="75" spans="1:23" ht="23.25" customHeight="1" thickBot="1">
      <c r="A75" s="132"/>
      <c r="B75" s="82"/>
      <c r="C75" s="77"/>
      <c r="D75" s="288"/>
      <c r="E75" s="353"/>
      <c r="F75" s="148"/>
      <c r="G75" s="290"/>
      <c r="H75" s="354"/>
      <c r="I75" s="355"/>
      <c r="J75" s="148"/>
      <c r="K75" s="290"/>
      <c r="L75" s="354"/>
      <c r="M75" s="355"/>
      <c r="N75" s="148"/>
      <c r="O75" s="290"/>
      <c r="P75" s="354"/>
      <c r="Q75" s="355"/>
      <c r="R75" s="148"/>
      <c r="S75" s="307"/>
      <c r="T75" s="289"/>
      <c r="U75" s="356"/>
      <c r="V75" s="148"/>
      <c r="W75" s="291"/>
    </row>
    <row r="76" spans="1:3" ht="13.5" customHeight="1">
      <c r="A76" s="71"/>
      <c r="B76" s="71"/>
      <c r="C76" s="71"/>
    </row>
  </sheetData>
  <sheetProtection/>
  <mergeCells count="8">
    <mergeCell ref="V42:V43"/>
    <mergeCell ref="W42:W43"/>
    <mergeCell ref="A4:C6"/>
    <mergeCell ref="E4:E5"/>
    <mergeCell ref="F4:F5"/>
    <mergeCell ref="A41:C43"/>
    <mergeCell ref="T42:T43"/>
    <mergeCell ref="U42:U43"/>
  </mergeCells>
  <printOptions/>
  <pageMargins left="0.75" right="0.32" top="1" bottom="1" header="0.512" footer="0.512"/>
  <pageSetup fitToHeight="1" fitToWidth="1" horizontalDpi="300" verticalDpi="300" orientation="landscape" paperSize="8" scale="44" r:id="rId1"/>
</worksheet>
</file>

<file path=xl/worksheets/sheet23.xml><?xml version="1.0" encoding="utf-8"?>
<worksheet xmlns="http://schemas.openxmlformats.org/spreadsheetml/2006/main" xmlns:r="http://schemas.openxmlformats.org/officeDocument/2006/relationships">
  <sheetPr>
    <pageSetUpPr fitToPage="1"/>
  </sheetPr>
  <dimension ref="A2:AB76"/>
  <sheetViews>
    <sheetView zoomScale="50" zoomScaleNormal="50" zoomScalePageLayoutView="0" workbookViewId="0" topLeftCell="A1">
      <selection activeCell="E22" sqref="E22"/>
    </sheetView>
  </sheetViews>
  <sheetFormatPr defaultColWidth="9.00390625" defaultRowHeight="13.5"/>
  <cols>
    <col min="1" max="1" width="4.00390625" style="0" customWidth="1"/>
    <col min="2" max="2" width="13.875" style="0" customWidth="1"/>
    <col min="3" max="3" width="32.75390625" style="0" customWidth="1"/>
    <col min="4" max="4" width="17.25390625" style="0" customWidth="1"/>
    <col min="5" max="5" width="18.00390625" style="0" bestFit="1" customWidth="1"/>
    <col min="6" max="6" width="17.50390625" style="0" customWidth="1"/>
    <col min="7" max="7" width="12.75390625" style="0" customWidth="1"/>
    <col min="8" max="9" width="15.625" style="0" customWidth="1"/>
    <col min="10" max="10" width="16.25390625" style="0" customWidth="1"/>
    <col min="11" max="11" width="12.375" style="0" customWidth="1"/>
    <col min="12" max="13" width="15.625" style="0" customWidth="1"/>
    <col min="14" max="14" width="16.375" style="0" customWidth="1"/>
    <col min="15" max="15" width="11.375" style="0" customWidth="1"/>
    <col min="16" max="17" width="15.625" style="0" customWidth="1"/>
    <col min="18" max="18" width="17.25390625" style="0" customWidth="1"/>
    <col min="19" max="19" width="11.125" style="0" customWidth="1"/>
    <col min="20" max="21" width="15.50390625" style="0" customWidth="1"/>
    <col min="22" max="22" width="17.25390625" style="0" customWidth="1"/>
    <col min="23" max="23" width="12.25390625" style="0" customWidth="1"/>
    <col min="24" max="26" width="15.625" style="0" customWidth="1"/>
    <col min="27" max="27" width="11.75390625" style="0" customWidth="1"/>
  </cols>
  <sheetData>
    <row r="2" spans="2:26" ht="42">
      <c r="B2" s="62" t="s">
        <v>312</v>
      </c>
      <c r="L2" s="63"/>
      <c r="T2" s="63" t="s">
        <v>211</v>
      </c>
      <c r="Z2" s="183" t="s">
        <v>58</v>
      </c>
    </row>
    <row r="3" ht="14.25" thickBot="1"/>
    <row r="4" spans="1:27" s="64" customFormat="1" ht="24" customHeight="1">
      <c r="A4" s="1175" t="s">
        <v>165</v>
      </c>
      <c r="B4" s="1176"/>
      <c r="C4" s="1177"/>
      <c r="D4" s="65"/>
      <c r="E4" s="1203" t="s">
        <v>202</v>
      </c>
      <c r="F4" s="1203" t="s">
        <v>203</v>
      </c>
      <c r="G4" s="83"/>
      <c r="H4" s="84" t="s">
        <v>204</v>
      </c>
      <c r="I4" s="85"/>
      <c r="J4" s="85"/>
      <c r="K4" s="85"/>
      <c r="L4" s="84"/>
      <c r="M4" s="85"/>
      <c r="N4" s="85"/>
      <c r="O4" s="85"/>
      <c r="P4" s="86"/>
      <c r="Q4" s="85"/>
      <c r="R4" s="85"/>
      <c r="S4" s="85"/>
      <c r="T4" s="84"/>
      <c r="U4" s="85"/>
      <c r="V4" s="85"/>
      <c r="W4" s="85"/>
      <c r="X4" s="86"/>
      <c r="Y4" s="85"/>
      <c r="Z4" s="85"/>
      <c r="AA4" s="133"/>
    </row>
    <row r="5" spans="1:27" s="64" customFormat="1" ht="24" customHeight="1">
      <c r="A5" s="1178"/>
      <c r="B5" s="1179"/>
      <c r="C5" s="1180"/>
      <c r="D5" s="66"/>
      <c r="E5" s="1204"/>
      <c r="F5" s="1204"/>
      <c r="G5" s="87"/>
      <c r="H5" s="88" t="s">
        <v>248</v>
      </c>
      <c r="I5" s="89"/>
      <c r="J5" s="89"/>
      <c r="K5" s="89"/>
      <c r="L5" s="88" t="s">
        <v>168</v>
      </c>
      <c r="M5" s="89"/>
      <c r="N5" s="89"/>
      <c r="O5" s="89"/>
      <c r="P5" s="88" t="s">
        <v>205</v>
      </c>
      <c r="Q5" s="89"/>
      <c r="R5" s="89"/>
      <c r="S5" s="89"/>
      <c r="T5" s="88" t="s">
        <v>306</v>
      </c>
      <c r="U5" s="89"/>
      <c r="V5" s="89"/>
      <c r="W5" s="89"/>
      <c r="X5" s="88" t="s">
        <v>254</v>
      </c>
      <c r="Y5" s="89"/>
      <c r="Z5" s="89"/>
      <c r="AA5" s="134"/>
    </row>
    <row r="6" spans="1:27" s="64" customFormat="1" ht="24" customHeight="1">
      <c r="A6" s="1181"/>
      <c r="B6" s="1182"/>
      <c r="C6" s="1183"/>
      <c r="D6" s="70" t="s">
        <v>174</v>
      </c>
      <c r="E6" s="67" t="s">
        <v>170</v>
      </c>
      <c r="F6" s="67" t="s">
        <v>171</v>
      </c>
      <c r="G6" s="68" t="s">
        <v>172</v>
      </c>
      <c r="H6" s="70" t="s">
        <v>174</v>
      </c>
      <c r="I6" s="69" t="s">
        <v>170</v>
      </c>
      <c r="J6" s="67" t="s">
        <v>173</v>
      </c>
      <c r="K6" s="68" t="s">
        <v>172</v>
      </c>
      <c r="L6" s="70" t="s">
        <v>174</v>
      </c>
      <c r="M6" s="69" t="s">
        <v>170</v>
      </c>
      <c r="N6" s="67" t="s">
        <v>173</v>
      </c>
      <c r="O6" s="68" t="s">
        <v>172</v>
      </c>
      <c r="P6" s="70" t="s">
        <v>174</v>
      </c>
      <c r="Q6" s="69" t="s">
        <v>170</v>
      </c>
      <c r="R6" s="67" t="s">
        <v>173</v>
      </c>
      <c r="S6" s="68" t="s">
        <v>172</v>
      </c>
      <c r="T6" s="70" t="s">
        <v>174</v>
      </c>
      <c r="U6" s="69" t="s">
        <v>170</v>
      </c>
      <c r="V6" s="67" t="s">
        <v>173</v>
      </c>
      <c r="W6" s="68" t="s">
        <v>172</v>
      </c>
      <c r="X6" s="70" t="s">
        <v>174</v>
      </c>
      <c r="Y6" s="69" t="s">
        <v>170</v>
      </c>
      <c r="Z6" s="67" t="s">
        <v>173</v>
      </c>
      <c r="AA6" s="135" t="s">
        <v>172</v>
      </c>
    </row>
    <row r="7" spans="1:27" ht="23.25" customHeight="1">
      <c r="A7" s="124"/>
      <c r="B7" s="71"/>
      <c r="C7" s="72"/>
      <c r="D7" s="259"/>
      <c r="E7" s="260"/>
      <c r="F7" s="261"/>
      <c r="G7" s="262"/>
      <c r="H7" s="259"/>
      <c r="I7" s="263"/>
      <c r="J7" s="264"/>
      <c r="K7" s="265"/>
      <c r="L7" s="259"/>
      <c r="M7" s="260"/>
      <c r="N7" s="261"/>
      <c r="O7" s="262"/>
      <c r="P7" s="259"/>
      <c r="Q7" s="263"/>
      <c r="R7" s="264"/>
      <c r="S7" s="265"/>
      <c r="T7" s="259"/>
      <c r="U7" s="263"/>
      <c r="V7" s="264"/>
      <c r="W7" s="265"/>
      <c r="X7" s="260"/>
      <c r="Y7" s="260"/>
      <c r="Z7" s="261"/>
      <c r="AA7" s="266"/>
    </row>
    <row r="8" spans="1:27" s="73" customFormat="1" ht="23.25" customHeight="1">
      <c r="A8" s="129" t="s">
        <v>175</v>
      </c>
      <c r="B8" s="126"/>
      <c r="C8" s="74"/>
      <c r="D8" s="267">
        <f>D10+D25+D37</f>
        <v>133910826</v>
      </c>
      <c r="E8" s="268">
        <f>E10+E25+E37</f>
        <v>131160312</v>
      </c>
      <c r="F8" s="242">
        <f>E8-D8</f>
        <v>-2750514</v>
      </c>
      <c r="G8" s="269">
        <f>_xlfn.IFERROR(F8/D8*100,"")</f>
        <v>-2.05398927193534</v>
      </c>
      <c r="H8" s="267">
        <f>H10+H25+H37</f>
        <v>21934188</v>
      </c>
      <c r="I8" s="268">
        <f>I10+I25+I37</f>
        <v>19075675</v>
      </c>
      <c r="J8" s="242">
        <f>I8-H8</f>
        <v>-2858513</v>
      </c>
      <c r="K8" s="269">
        <f>_xlfn.IFERROR(J8/H8*100,"")</f>
        <v>-13.032226221458481</v>
      </c>
      <c r="L8" s="267">
        <f>L10+L25+L37</f>
        <v>52128887</v>
      </c>
      <c r="M8" s="268">
        <f>M10+M25+M37</f>
        <v>52766065</v>
      </c>
      <c r="N8" s="242">
        <f>M8-L8</f>
        <v>637178</v>
      </c>
      <c r="O8" s="269">
        <f>_xlfn.IFERROR(N8/L8*100,"")</f>
        <v>1.2223126881646256</v>
      </c>
      <c r="P8" s="267">
        <f>P10+P25+P37</f>
        <v>52838213</v>
      </c>
      <c r="Q8" s="268">
        <f>Q10+Q25+Q37</f>
        <v>53364772</v>
      </c>
      <c r="R8" s="242">
        <f>Q8-P8</f>
        <v>526559</v>
      </c>
      <c r="S8" s="269">
        <f>_xlfn.IFERROR(R8/P8*100,"")</f>
        <v>0.9965495994347878</v>
      </c>
      <c r="T8" s="267">
        <f>T10+T25+T37</f>
        <v>6984550</v>
      </c>
      <c r="U8" s="268">
        <f>U10+U25+U37</f>
        <v>5935300</v>
      </c>
      <c r="V8" s="242">
        <f>U8-T8</f>
        <v>-1049250</v>
      </c>
      <c r="W8" s="269">
        <f>_xlfn.IFERROR(V8/T8*100,"")</f>
        <v>-15.022442390705198</v>
      </c>
      <c r="X8" s="268">
        <f>X10+X25+X37</f>
        <v>800</v>
      </c>
      <c r="Y8" s="268">
        <f>Y10+Y25+Y37</f>
        <v>6095</v>
      </c>
      <c r="Z8" s="270">
        <f>Y8-X8</f>
        <v>5295</v>
      </c>
      <c r="AA8" s="271">
        <f>_xlfn.IFERROR(Z8/X8*100,"")</f>
        <v>661.875</v>
      </c>
    </row>
    <row r="9" spans="1:27" s="73" customFormat="1" ht="23.25" customHeight="1">
      <c r="A9" s="130"/>
      <c r="B9" s="127"/>
      <c r="C9" s="75"/>
      <c r="D9" s="272"/>
      <c r="E9" s="273"/>
      <c r="F9" s="285"/>
      <c r="G9" s="274"/>
      <c r="H9" s="272"/>
      <c r="I9" s="273"/>
      <c r="J9" s="147"/>
      <c r="K9" s="275"/>
      <c r="L9" s="272"/>
      <c r="M9" s="273"/>
      <c r="N9" s="244"/>
      <c r="O9" s="277"/>
      <c r="P9" s="272"/>
      <c r="Q9" s="273"/>
      <c r="R9" s="147"/>
      <c r="S9" s="275"/>
      <c r="T9" s="272"/>
      <c r="U9" s="273"/>
      <c r="V9" s="147"/>
      <c r="W9" s="275"/>
      <c r="X9" s="273"/>
      <c r="Y9" s="273"/>
      <c r="Z9" s="278"/>
      <c r="AA9" s="243"/>
    </row>
    <row r="10" spans="1:27" s="73" customFormat="1" ht="23.25" customHeight="1">
      <c r="A10" s="130"/>
      <c r="B10" s="126" t="s">
        <v>176</v>
      </c>
      <c r="C10" s="74" t="s">
        <v>135</v>
      </c>
      <c r="D10" s="267">
        <f>H10+L10+P10+T10+X10</f>
        <v>110498387</v>
      </c>
      <c r="E10" s="268">
        <f>SUM(E11:E23)</f>
        <v>108296838</v>
      </c>
      <c r="F10" s="242">
        <f>E10-D10</f>
        <v>-2201549</v>
      </c>
      <c r="G10" s="269">
        <f>_xlfn.IFERROR(F10/D10*100,"")</f>
        <v>-1.992381119554261</v>
      </c>
      <c r="H10" s="267">
        <f>SUM(H11:H23)</f>
        <v>21625448</v>
      </c>
      <c r="I10" s="268">
        <f>SUM(I11:I23)</f>
        <v>18548547</v>
      </c>
      <c r="J10" s="242">
        <f>I10-H10</f>
        <v>-3076901</v>
      </c>
      <c r="K10" s="269">
        <f aca="true" t="shared" si="0" ref="K10:K23">_xlfn.IFERROR(J10/H10*100,"")</f>
        <v>-14.228149169441483</v>
      </c>
      <c r="L10" s="267">
        <f>SUM(L11:L23)</f>
        <v>52017395</v>
      </c>
      <c r="M10" s="268">
        <f>SUM(M11:M23)</f>
        <v>52637546</v>
      </c>
      <c r="N10" s="242">
        <f>M10-L10</f>
        <v>620151</v>
      </c>
      <c r="O10" s="269">
        <f aca="true" t="shared" si="1" ref="O10:O23">_xlfn.IFERROR(N10/L10*100,"")</f>
        <v>1.19219926334258</v>
      </c>
      <c r="P10" s="267">
        <f>SUM(P11:P23)</f>
        <v>31217674</v>
      </c>
      <c r="Q10" s="268">
        <f>SUM(Q11:Q23)</f>
        <v>32293782</v>
      </c>
      <c r="R10" s="242">
        <f>Q10-P10</f>
        <v>1076108</v>
      </c>
      <c r="S10" s="269">
        <f aca="true" t="shared" si="2" ref="S10:S23">_xlfn.IFERROR(R10/P10*100,"")</f>
        <v>3.4471114023421476</v>
      </c>
      <c r="T10" s="267">
        <f>SUM(T11:T23)</f>
        <v>5637290</v>
      </c>
      <c r="U10" s="268">
        <f>SUM(U11:U23)</f>
        <v>4812400</v>
      </c>
      <c r="V10" s="242">
        <f>U10-T10</f>
        <v>-824890</v>
      </c>
      <c r="W10" s="269">
        <f>_xlfn.IFERROR(V10/T10*100,"")</f>
        <v>-14.632740199634931</v>
      </c>
      <c r="X10" s="268">
        <f>SUM(X11:X23)</f>
        <v>580</v>
      </c>
      <c r="Y10" s="268">
        <f>SUM(Y11:Y23)</f>
        <v>4563</v>
      </c>
      <c r="Z10" s="270">
        <f>Y10-X10</f>
        <v>3983</v>
      </c>
      <c r="AA10" s="271">
        <f>_xlfn.IFERROR(Z10/X10*100,"")</f>
        <v>686.7241379310345</v>
      </c>
    </row>
    <row r="11" spans="1:27" s="73" customFormat="1" ht="23.25" customHeight="1">
      <c r="A11" s="130"/>
      <c r="B11" s="127"/>
      <c r="C11" s="75" t="s">
        <v>177</v>
      </c>
      <c r="D11" s="279">
        <f aca="true" t="shared" si="3" ref="D11:E21">H11+L11+P11+T11+X11</f>
        <v>1644298</v>
      </c>
      <c r="E11" s="280">
        <f>I11+M11+Q11+U11+Y11</f>
        <v>1493749</v>
      </c>
      <c r="F11" s="285">
        <f aca="true" t="shared" si="4" ref="F11:F21">E11-D11</f>
        <v>-150549</v>
      </c>
      <c r="G11" s="275">
        <f aca="true" t="shared" si="5" ref="G11:G23">_xlfn.IFERROR(F11/D11*100,"")</f>
        <v>-9.155822119834726</v>
      </c>
      <c r="H11" s="281">
        <v>3881</v>
      </c>
      <c r="I11" s="282">
        <v>12374</v>
      </c>
      <c r="J11" s="147">
        <f aca="true" t="shared" si="6" ref="J11:J21">I11-H11</f>
        <v>8493</v>
      </c>
      <c r="K11" s="275">
        <f t="shared" si="0"/>
        <v>218.83535171347592</v>
      </c>
      <c r="L11" s="283">
        <v>8373</v>
      </c>
      <c r="M11" s="284">
        <v>2442</v>
      </c>
      <c r="N11" s="147">
        <f aca="true" t="shared" si="7" ref="N11:N21">M11-L11</f>
        <v>-5931</v>
      </c>
      <c r="O11" s="275">
        <f t="shared" si="1"/>
        <v>-70.83482622715871</v>
      </c>
      <c r="P11" s="283">
        <v>1569344</v>
      </c>
      <c r="Q11" s="284">
        <v>1478933</v>
      </c>
      <c r="R11" s="147">
        <f aca="true" t="shared" si="8" ref="R11:R21">Q11-P11</f>
        <v>-90411</v>
      </c>
      <c r="S11" s="275">
        <f t="shared" si="2"/>
        <v>-5.76106959340973</v>
      </c>
      <c r="T11" s="283">
        <v>62700</v>
      </c>
      <c r="U11" s="284">
        <v>0</v>
      </c>
      <c r="V11" s="147">
        <f aca="true" t="shared" si="9" ref="V11:V21">U11-T11</f>
        <v>-62700</v>
      </c>
      <c r="W11" s="275">
        <f aca="true" t="shared" si="10" ref="W11:W23">_xlfn.IFERROR(V11/T11*100,"")</f>
        <v>-100</v>
      </c>
      <c r="X11" s="284">
        <v>0</v>
      </c>
      <c r="Y11" s="284">
        <v>0</v>
      </c>
      <c r="Z11" s="278">
        <f aca="true" t="shared" si="11" ref="Z11:Z21">Y11-X11</f>
        <v>0</v>
      </c>
      <c r="AA11" s="243">
        <f aca="true" t="shared" si="12" ref="AA11:AA23">_xlfn.IFERROR(Z11/X11*100,"")</f>
      </c>
    </row>
    <row r="12" spans="1:27" s="73" customFormat="1" ht="23.25" customHeight="1">
      <c r="A12" s="130"/>
      <c r="B12" s="127"/>
      <c r="C12" s="75" t="s">
        <v>178</v>
      </c>
      <c r="D12" s="279">
        <f t="shared" si="3"/>
        <v>68862366</v>
      </c>
      <c r="E12" s="280">
        <f t="shared" si="3"/>
        <v>67762179</v>
      </c>
      <c r="F12" s="285">
        <f t="shared" si="4"/>
        <v>-1100187</v>
      </c>
      <c r="G12" s="275">
        <f t="shared" si="5"/>
        <v>-1.5976607600151294</v>
      </c>
      <c r="H12" s="281">
        <v>13683061</v>
      </c>
      <c r="I12" s="282">
        <v>12078932</v>
      </c>
      <c r="J12" s="147">
        <f>I12-H12</f>
        <v>-1604129</v>
      </c>
      <c r="K12" s="275">
        <f t="shared" si="0"/>
        <v>-11.723465970077894</v>
      </c>
      <c r="L12" s="283">
        <v>32905437</v>
      </c>
      <c r="M12" s="284">
        <v>32831151</v>
      </c>
      <c r="N12" s="147">
        <f t="shared" si="7"/>
        <v>-74286</v>
      </c>
      <c r="O12" s="275">
        <f t="shared" si="1"/>
        <v>-0.22575600500306375</v>
      </c>
      <c r="P12" s="283">
        <v>18842796</v>
      </c>
      <c r="Q12" s="284">
        <v>19434204</v>
      </c>
      <c r="R12" s="147">
        <f t="shared" si="8"/>
        <v>591408</v>
      </c>
      <c r="S12" s="275">
        <f t="shared" si="2"/>
        <v>3.138642481720866</v>
      </c>
      <c r="T12" s="283">
        <v>3430742</v>
      </c>
      <c r="U12" s="284">
        <v>3417392</v>
      </c>
      <c r="V12" s="147">
        <f t="shared" si="9"/>
        <v>-13350</v>
      </c>
      <c r="W12" s="275">
        <f t="shared" si="10"/>
        <v>-0.3891286491377084</v>
      </c>
      <c r="X12" s="284">
        <v>330</v>
      </c>
      <c r="Y12" s="284">
        <v>500</v>
      </c>
      <c r="Z12" s="278">
        <f t="shared" si="11"/>
        <v>170</v>
      </c>
      <c r="AA12" s="243">
        <f t="shared" si="12"/>
        <v>51.515151515151516</v>
      </c>
    </row>
    <row r="13" spans="1:27" s="73" customFormat="1" ht="23.25" customHeight="1">
      <c r="A13" s="130"/>
      <c r="B13" s="127"/>
      <c r="C13" s="75" t="s">
        <v>179</v>
      </c>
      <c r="D13" s="279">
        <f t="shared" si="3"/>
        <v>38922117</v>
      </c>
      <c r="E13" s="280">
        <f t="shared" si="3"/>
        <v>37540518</v>
      </c>
      <c r="F13" s="285">
        <f t="shared" si="4"/>
        <v>-1381599</v>
      </c>
      <c r="G13" s="275">
        <f t="shared" si="5"/>
        <v>-3.5496501898907504</v>
      </c>
      <c r="H13" s="281">
        <v>7908569</v>
      </c>
      <c r="I13" s="282">
        <v>6454256</v>
      </c>
      <c r="J13" s="147">
        <f>I13-H13</f>
        <v>-1454313</v>
      </c>
      <c r="K13" s="275">
        <f t="shared" si="0"/>
        <v>-18.38907898508567</v>
      </c>
      <c r="L13" s="283">
        <v>19050821</v>
      </c>
      <c r="M13" s="284">
        <v>19802044</v>
      </c>
      <c r="N13" s="147">
        <f t="shared" si="7"/>
        <v>751223</v>
      </c>
      <c r="O13" s="275">
        <f t="shared" si="1"/>
        <v>3.943257878492481</v>
      </c>
      <c r="P13" s="283">
        <v>9957929</v>
      </c>
      <c r="Q13" s="284">
        <v>9885147</v>
      </c>
      <c r="R13" s="147">
        <f t="shared" si="8"/>
        <v>-72782</v>
      </c>
      <c r="S13" s="275">
        <f t="shared" si="2"/>
        <v>-0.7308949481363043</v>
      </c>
      <c r="T13" s="283">
        <v>2004548</v>
      </c>
      <c r="U13" s="284">
        <v>1395008</v>
      </c>
      <c r="V13" s="147">
        <f t="shared" si="9"/>
        <v>-609540</v>
      </c>
      <c r="W13" s="275">
        <f t="shared" si="10"/>
        <v>-30.407852543316498</v>
      </c>
      <c r="X13" s="284">
        <v>250</v>
      </c>
      <c r="Y13" s="284">
        <v>4063</v>
      </c>
      <c r="Z13" s="278">
        <f t="shared" si="11"/>
        <v>3813</v>
      </c>
      <c r="AA13" s="243">
        <f t="shared" si="12"/>
        <v>1525.2</v>
      </c>
    </row>
    <row r="14" spans="1:27" s="73" customFormat="1" ht="23.25" customHeight="1">
      <c r="A14" s="130"/>
      <c r="B14" s="127"/>
      <c r="C14" s="75" t="s">
        <v>245</v>
      </c>
      <c r="D14" s="279">
        <f t="shared" si="3"/>
        <v>0</v>
      </c>
      <c r="E14" s="280">
        <f t="shared" si="3"/>
        <v>0</v>
      </c>
      <c r="F14" s="285">
        <f t="shared" si="4"/>
        <v>0</v>
      </c>
      <c r="G14" s="275">
        <f t="shared" si="5"/>
      </c>
      <c r="H14" s="281">
        <v>0</v>
      </c>
      <c r="I14" s="282">
        <v>0</v>
      </c>
      <c r="J14" s="147">
        <f t="shared" si="6"/>
        <v>0</v>
      </c>
      <c r="K14" s="275">
        <f t="shared" si="0"/>
      </c>
      <c r="L14" s="283">
        <v>0</v>
      </c>
      <c r="M14" s="284">
        <v>0</v>
      </c>
      <c r="N14" s="147">
        <f t="shared" si="7"/>
        <v>0</v>
      </c>
      <c r="O14" s="275">
        <f t="shared" si="1"/>
      </c>
      <c r="P14" s="283">
        <v>0</v>
      </c>
      <c r="Q14" s="284">
        <v>0</v>
      </c>
      <c r="R14" s="147">
        <f t="shared" si="8"/>
        <v>0</v>
      </c>
      <c r="S14" s="275">
        <f t="shared" si="2"/>
      </c>
      <c r="T14" s="283">
        <v>0</v>
      </c>
      <c r="U14" s="284">
        <v>0</v>
      </c>
      <c r="V14" s="147">
        <f t="shared" si="9"/>
        <v>0</v>
      </c>
      <c r="W14" s="275">
        <f t="shared" si="10"/>
      </c>
      <c r="X14" s="284">
        <v>0</v>
      </c>
      <c r="Y14" s="284">
        <v>0</v>
      </c>
      <c r="Z14" s="278">
        <f t="shared" si="11"/>
        <v>0</v>
      </c>
      <c r="AA14" s="243">
        <f t="shared" si="12"/>
      </c>
    </row>
    <row r="15" spans="1:27" s="73" customFormat="1" ht="23.25" customHeight="1">
      <c r="A15" s="130"/>
      <c r="B15" s="127"/>
      <c r="C15" s="75" t="s">
        <v>180</v>
      </c>
      <c r="D15" s="279">
        <f t="shared" si="3"/>
        <v>0</v>
      </c>
      <c r="E15" s="280">
        <f t="shared" si="3"/>
        <v>0</v>
      </c>
      <c r="F15" s="285">
        <f t="shared" si="4"/>
        <v>0</v>
      </c>
      <c r="G15" s="275">
        <f t="shared" si="5"/>
      </c>
      <c r="H15" s="281">
        <v>0</v>
      </c>
      <c r="I15" s="282">
        <v>0</v>
      </c>
      <c r="J15" s="147">
        <f t="shared" si="6"/>
        <v>0</v>
      </c>
      <c r="K15" s="275">
        <f t="shared" si="0"/>
      </c>
      <c r="L15" s="283">
        <v>0</v>
      </c>
      <c r="M15" s="284">
        <v>0</v>
      </c>
      <c r="N15" s="147">
        <f t="shared" si="7"/>
        <v>0</v>
      </c>
      <c r="O15" s="275">
        <f t="shared" si="1"/>
      </c>
      <c r="P15" s="283">
        <v>0</v>
      </c>
      <c r="Q15" s="284">
        <v>0</v>
      </c>
      <c r="R15" s="147">
        <f t="shared" si="8"/>
        <v>0</v>
      </c>
      <c r="S15" s="275">
        <f t="shared" si="2"/>
      </c>
      <c r="T15" s="283">
        <v>0</v>
      </c>
      <c r="U15" s="284">
        <v>0</v>
      </c>
      <c r="V15" s="147">
        <f t="shared" si="9"/>
        <v>0</v>
      </c>
      <c r="W15" s="275">
        <f t="shared" si="10"/>
      </c>
      <c r="X15" s="284">
        <v>0</v>
      </c>
      <c r="Y15" s="284">
        <v>0</v>
      </c>
      <c r="Z15" s="278">
        <f t="shared" si="11"/>
        <v>0</v>
      </c>
      <c r="AA15" s="243">
        <f t="shared" si="12"/>
      </c>
    </row>
    <row r="16" spans="1:27" s="73" customFormat="1" ht="23.25" customHeight="1">
      <c r="A16" s="130"/>
      <c r="B16" s="127"/>
      <c r="C16" s="75" t="s">
        <v>181</v>
      </c>
      <c r="D16" s="279">
        <f t="shared" si="3"/>
        <v>0</v>
      </c>
      <c r="E16" s="280">
        <f t="shared" si="3"/>
        <v>0</v>
      </c>
      <c r="F16" s="285">
        <f t="shared" si="4"/>
        <v>0</v>
      </c>
      <c r="G16" s="275">
        <f t="shared" si="5"/>
      </c>
      <c r="H16" s="281">
        <v>0</v>
      </c>
      <c r="I16" s="282">
        <v>0</v>
      </c>
      <c r="J16" s="147">
        <f t="shared" si="6"/>
        <v>0</v>
      </c>
      <c r="K16" s="275">
        <f t="shared" si="0"/>
      </c>
      <c r="L16" s="283">
        <v>0</v>
      </c>
      <c r="M16" s="284">
        <v>0</v>
      </c>
      <c r="N16" s="147">
        <f t="shared" si="7"/>
        <v>0</v>
      </c>
      <c r="O16" s="275">
        <f t="shared" si="1"/>
      </c>
      <c r="P16" s="283">
        <v>0</v>
      </c>
      <c r="Q16" s="284">
        <v>0</v>
      </c>
      <c r="R16" s="147">
        <f t="shared" si="8"/>
        <v>0</v>
      </c>
      <c r="S16" s="275">
        <f t="shared" si="2"/>
      </c>
      <c r="T16" s="283">
        <v>0</v>
      </c>
      <c r="U16" s="284">
        <v>0</v>
      </c>
      <c r="V16" s="147">
        <f t="shared" si="9"/>
        <v>0</v>
      </c>
      <c r="W16" s="275">
        <f t="shared" si="10"/>
      </c>
      <c r="X16" s="284">
        <v>0</v>
      </c>
      <c r="Y16" s="284">
        <v>0</v>
      </c>
      <c r="Z16" s="278">
        <f t="shared" si="11"/>
        <v>0</v>
      </c>
      <c r="AA16" s="243">
        <f t="shared" si="12"/>
      </c>
    </row>
    <row r="17" spans="1:27" s="73" customFormat="1" ht="23.25" customHeight="1">
      <c r="A17" s="130"/>
      <c r="B17" s="127"/>
      <c r="C17" s="75" t="s">
        <v>182</v>
      </c>
      <c r="D17" s="279">
        <f t="shared" si="3"/>
        <v>0</v>
      </c>
      <c r="E17" s="280">
        <f t="shared" si="3"/>
        <v>0</v>
      </c>
      <c r="F17" s="285">
        <f t="shared" si="4"/>
        <v>0</v>
      </c>
      <c r="G17" s="275">
        <f t="shared" si="5"/>
      </c>
      <c r="H17" s="281">
        <v>0</v>
      </c>
      <c r="I17" s="282">
        <v>0</v>
      </c>
      <c r="J17" s="147">
        <f t="shared" si="6"/>
        <v>0</v>
      </c>
      <c r="K17" s="275">
        <f t="shared" si="0"/>
      </c>
      <c r="L17" s="283">
        <v>0</v>
      </c>
      <c r="M17" s="284">
        <v>0</v>
      </c>
      <c r="N17" s="147">
        <f t="shared" si="7"/>
        <v>0</v>
      </c>
      <c r="O17" s="275">
        <f t="shared" si="1"/>
      </c>
      <c r="P17" s="283">
        <v>0</v>
      </c>
      <c r="Q17" s="284">
        <v>0</v>
      </c>
      <c r="R17" s="147">
        <f t="shared" si="8"/>
        <v>0</v>
      </c>
      <c r="S17" s="275">
        <f t="shared" si="2"/>
      </c>
      <c r="T17" s="283">
        <v>0</v>
      </c>
      <c r="U17" s="284">
        <v>0</v>
      </c>
      <c r="V17" s="147">
        <f t="shared" si="9"/>
        <v>0</v>
      </c>
      <c r="W17" s="275">
        <f t="shared" si="10"/>
      </c>
      <c r="X17" s="284">
        <v>0</v>
      </c>
      <c r="Y17" s="284">
        <v>0</v>
      </c>
      <c r="Z17" s="278">
        <f t="shared" si="11"/>
        <v>0</v>
      </c>
      <c r="AA17" s="243">
        <f t="shared" si="12"/>
      </c>
    </row>
    <row r="18" spans="1:27" s="73" customFormat="1" ht="23.25" customHeight="1">
      <c r="A18" s="130"/>
      <c r="B18" s="127"/>
      <c r="C18" s="75" t="s">
        <v>38</v>
      </c>
      <c r="D18" s="279">
        <f t="shared" si="3"/>
        <v>0</v>
      </c>
      <c r="E18" s="280">
        <f t="shared" si="3"/>
        <v>0</v>
      </c>
      <c r="F18" s="285">
        <f t="shared" si="4"/>
        <v>0</v>
      </c>
      <c r="G18" s="275">
        <f t="shared" si="5"/>
      </c>
      <c r="H18" s="281">
        <v>0</v>
      </c>
      <c r="I18" s="282">
        <v>0</v>
      </c>
      <c r="J18" s="147">
        <f t="shared" si="6"/>
        <v>0</v>
      </c>
      <c r="K18" s="275">
        <f t="shared" si="0"/>
      </c>
      <c r="L18" s="283">
        <v>0</v>
      </c>
      <c r="M18" s="284">
        <v>0</v>
      </c>
      <c r="N18" s="147">
        <f t="shared" si="7"/>
        <v>0</v>
      </c>
      <c r="O18" s="275">
        <f t="shared" si="1"/>
      </c>
      <c r="P18" s="283">
        <v>0</v>
      </c>
      <c r="Q18" s="284">
        <v>0</v>
      </c>
      <c r="R18" s="147">
        <f t="shared" si="8"/>
        <v>0</v>
      </c>
      <c r="S18" s="275">
        <f t="shared" si="2"/>
      </c>
      <c r="T18" s="283">
        <v>0</v>
      </c>
      <c r="U18" s="284">
        <v>0</v>
      </c>
      <c r="V18" s="147">
        <f t="shared" si="9"/>
        <v>0</v>
      </c>
      <c r="W18" s="275">
        <f t="shared" si="10"/>
      </c>
      <c r="X18" s="284">
        <v>0</v>
      </c>
      <c r="Y18" s="284">
        <v>0</v>
      </c>
      <c r="Z18" s="278">
        <f t="shared" si="11"/>
        <v>0</v>
      </c>
      <c r="AA18" s="243">
        <f t="shared" si="12"/>
      </c>
    </row>
    <row r="19" spans="1:27" s="73" customFormat="1" ht="23.25" customHeight="1">
      <c r="A19" s="130"/>
      <c r="B19" s="127"/>
      <c r="C19" s="75" t="s">
        <v>183</v>
      </c>
      <c r="D19" s="279">
        <f t="shared" si="3"/>
        <v>0</v>
      </c>
      <c r="E19" s="280">
        <f t="shared" si="3"/>
        <v>0</v>
      </c>
      <c r="F19" s="285">
        <f t="shared" si="4"/>
        <v>0</v>
      </c>
      <c r="G19" s="275">
        <f t="shared" si="5"/>
      </c>
      <c r="H19" s="281">
        <v>0</v>
      </c>
      <c r="I19" s="282">
        <v>0</v>
      </c>
      <c r="J19" s="147">
        <f t="shared" si="6"/>
        <v>0</v>
      </c>
      <c r="K19" s="275">
        <f t="shared" si="0"/>
      </c>
      <c r="L19" s="283">
        <v>0</v>
      </c>
      <c r="M19" s="284">
        <v>0</v>
      </c>
      <c r="N19" s="147">
        <f t="shared" si="7"/>
        <v>0</v>
      </c>
      <c r="O19" s="275">
        <f t="shared" si="1"/>
      </c>
      <c r="P19" s="283">
        <v>0</v>
      </c>
      <c r="Q19" s="284">
        <v>0</v>
      </c>
      <c r="R19" s="147">
        <f t="shared" si="8"/>
        <v>0</v>
      </c>
      <c r="S19" s="275">
        <f t="shared" si="2"/>
      </c>
      <c r="T19" s="283">
        <v>0</v>
      </c>
      <c r="U19" s="284">
        <v>0</v>
      </c>
      <c r="V19" s="147">
        <f t="shared" si="9"/>
        <v>0</v>
      </c>
      <c r="W19" s="275">
        <f t="shared" si="10"/>
      </c>
      <c r="X19" s="284">
        <v>0</v>
      </c>
      <c r="Y19" s="284">
        <v>0</v>
      </c>
      <c r="Z19" s="278">
        <f t="shared" si="11"/>
        <v>0</v>
      </c>
      <c r="AA19" s="243">
        <f t="shared" si="12"/>
      </c>
    </row>
    <row r="20" spans="1:27" s="73" customFormat="1" ht="23.25" customHeight="1">
      <c r="A20" s="130"/>
      <c r="B20" s="127"/>
      <c r="C20" s="75" t="s">
        <v>184</v>
      </c>
      <c r="D20" s="279">
        <f t="shared" si="3"/>
        <v>0</v>
      </c>
      <c r="E20" s="280">
        <f t="shared" si="3"/>
        <v>0</v>
      </c>
      <c r="F20" s="285">
        <f t="shared" si="4"/>
        <v>0</v>
      </c>
      <c r="G20" s="275">
        <f t="shared" si="5"/>
      </c>
      <c r="H20" s="281">
        <v>0</v>
      </c>
      <c r="I20" s="282">
        <v>0</v>
      </c>
      <c r="J20" s="147">
        <f t="shared" si="6"/>
        <v>0</v>
      </c>
      <c r="K20" s="275">
        <f t="shared" si="0"/>
      </c>
      <c r="L20" s="283">
        <v>0</v>
      </c>
      <c r="M20" s="284">
        <v>0</v>
      </c>
      <c r="N20" s="147">
        <f t="shared" si="7"/>
        <v>0</v>
      </c>
      <c r="O20" s="275">
        <f t="shared" si="1"/>
      </c>
      <c r="P20" s="283">
        <v>0</v>
      </c>
      <c r="Q20" s="284">
        <v>0</v>
      </c>
      <c r="R20" s="147">
        <f t="shared" si="8"/>
        <v>0</v>
      </c>
      <c r="S20" s="275">
        <f t="shared" si="2"/>
      </c>
      <c r="T20" s="283">
        <v>0</v>
      </c>
      <c r="U20" s="284">
        <v>0</v>
      </c>
      <c r="V20" s="147">
        <f t="shared" si="9"/>
        <v>0</v>
      </c>
      <c r="W20" s="275">
        <f t="shared" si="10"/>
      </c>
      <c r="X20" s="284">
        <v>0</v>
      </c>
      <c r="Y20" s="284">
        <v>0</v>
      </c>
      <c r="Z20" s="278">
        <f t="shared" si="11"/>
        <v>0</v>
      </c>
      <c r="AA20" s="243">
        <f t="shared" si="12"/>
      </c>
    </row>
    <row r="21" spans="1:27" s="73" customFormat="1" ht="23.25" customHeight="1">
      <c r="A21" s="130"/>
      <c r="B21" s="127"/>
      <c r="C21" s="75" t="s">
        <v>185</v>
      </c>
      <c r="D21" s="279">
        <f t="shared" si="3"/>
        <v>0</v>
      </c>
      <c r="E21" s="280">
        <f t="shared" si="3"/>
        <v>0</v>
      </c>
      <c r="F21" s="285">
        <f t="shared" si="4"/>
        <v>0</v>
      </c>
      <c r="G21" s="275">
        <f t="shared" si="5"/>
      </c>
      <c r="H21" s="281">
        <v>0</v>
      </c>
      <c r="I21" s="282">
        <v>0</v>
      </c>
      <c r="J21" s="147">
        <f t="shared" si="6"/>
        <v>0</v>
      </c>
      <c r="K21" s="275">
        <f t="shared" si="0"/>
      </c>
      <c r="L21" s="283">
        <v>0</v>
      </c>
      <c r="M21" s="284">
        <v>0</v>
      </c>
      <c r="N21" s="147">
        <f t="shared" si="7"/>
        <v>0</v>
      </c>
      <c r="O21" s="275">
        <f t="shared" si="1"/>
      </c>
      <c r="P21" s="283">
        <v>0</v>
      </c>
      <c r="Q21" s="284">
        <v>0</v>
      </c>
      <c r="R21" s="147">
        <f t="shared" si="8"/>
        <v>0</v>
      </c>
      <c r="S21" s="275">
        <f t="shared" si="2"/>
      </c>
      <c r="T21" s="283">
        <v>0</v>
      </c>
      <c r="U21" s="284">
        <v>0</v>
      </c>
      <c r="V21" s="147">
        <f t="shared" si="9"/>
        <v>0</v>
      </c>
      <c r="W21" s="275">
        <f t="shared" si="10"/>
      </c>
      <c r="X21" s="284">
        <v>0</v>
      </c>
      <c r="Y21" s="284">
        <v>0</v>
      </c>
      <c r="Z21" s="278">
        <f t="shared" si="11"/>
        <v>0</v>
      </c>
      <c r="AA21" s="243">
        <f t="shared" si="12"/>
      </c>
    </row>
    <row r="22" spans="1:27" s="73" customFormat="1" ht="23.25" customHeight="1">
      <c r="A22" s="130"/>
      <c r="B22" s="127"/>
      <c r="C22" s="75" t="s">
        <v>320</v>
      </c>
      <c r="D22" s="279">
        <f>H22+L22+P22+T22+X22</f>
        <v>1069606</v>
      </c>
      <c r="E22" s="280">
        <f>I22+M22+Q22+U22+Y22</f>
        <v>1500392</v>
      </c>
      <c r="F22" s="285">
        <f>E22-D22</f>
        <v>430786</v>
      </c>
      <c r="G22" s="275">
        <f t="shared" si="5"/>
        <v>40.275204140590084</v>
      </c>
      <c r="H22" s="281">
        <v>29937</v>
      </c>
      <c r="I22" s="282">
        <v>2985</v>
      </c>
      <c r="J22" s="147">
        <f>I22-H22</f>
        <v>-26952</v>
      </c>
      <c r="K22" s="275">
        <f t="shared" si="0"/>
        <v>-90.02906102815913</v>
      </c>
      <c r="L22" s="283">
        <v>52764</v>
      </c>
      <c r="M22" s="284">
        <v>1909</v>
      </c>
      <c r="N22" s="147">
        <f>M22-L22</f>
        <v>-50855</v>
      </c>
      <c r="O22" s="275">
        <f t="shared" si="1"/>
        <v>-96.38200288075203</v>
      </c>
      <c r="P22" s="283">
        <v>847605</v>
      </c>
      <c r="Q22" s="284">
        <v>1495498</v>
      </c>
      <c r="R22" s="147">
        <f>Q22-P22</f>
        <v>647893</v>
      </c>
      <c r="S22" s="275">
        <f t="shared" si="2"/>
        <v>76.43808141764147</v>
      </c>
      <c r="T22" s="283">
        <v>139300</v>
      </c>
      <c r="U22" s="284">
        <v>0</v>
      </c>
      <c r="V22" s="147">
        <f>U22-T22</f>
        <v>-139300</v>
      </c>
      <c r="W22" s="275">
        <f t="shared" si="10"/>
        <v>-100</v>
      </c>
      <c r="X22" s="284">
        <v>0</v>
      </c>
      <c r="Y22" s="284">
        <v>0</v>
      </c>
      <c r="Z22" s="278">
        <f>Y22-X22</f>
        <v>0</v>
      </c>
      <c r="AA22" s="243">
        <f t="shared" si="12"/>
      </c>
    </row>
    <row r="23" spans="1:27" s="73" customFormat="1" ht="23.25" customHeight="1">
      <c r="A23" s="130"/>
      <c r="B23" s="127"/>
      <c r="C23" s="75" t="s">
        <v>319</v>
      </c>
      <c r="D23" s="279">
        <f>H23+L23+P23+T23+X23</f>
        <v>0</v>
      </c>
      <c r="E23" s="280">
        <f>I23+M23+Q23+U23+Y23</f>
        <v>0</v>
      </c>
      <c r="F23" s="285">
        <f>E23-D23</f>
        <v>0</v>
      </c>
      <c r="G23" s="275">
        <f t="shared" si="5"/>
      </c>
      <c r="H23" s="281">
        <v>0</v>
      </c>
      <c r="I23" s="282">
        <v>0</v>
      </c>
      <c r="J23" s="147">
        <f>I23-H23</f>
        <v>0</v>
      </c>
      <c r="K23" s="275">
        <f t="shared" si="0"/>
      </c>
      <c r="L23" s="283"/>
      <c r="M23" s="284"/>
      <c r="N23" s="147">
        <f>M23-L23</f>
        <v>0</v>
      </c>
      <c r="O23" s="275">
        <f t="shared" si="1"/>
      </c>
      <c r="P23" s="283"/>
      <c r="Q23" s="284"/>
      <c r="R23" s="147">
        <f>Q23-P23</f>
        <v>0</v>
      </c>
      <c r="S23" s="275">
        <f t="shared" si="2"/>
      </c>
      <c r="T23" s="283"/>
      <c r="U23" s="284"/>
      <c r="V23" s="147">
        <f>U23-T23</f>
        <v>0</v>
      </c>
      <c r="W23" s="275">
        <f t="shared" si="10"/>
      </c>
      <c r="X23" s="284"/>
      <c r="Y23" s="284"/>
      <c r="Z23" s="278">
        <f>Y23-X23</f>
        <v>0</v>
      </c>
      <c r="AA23" s="243">
        <f t="shared" si="12"/>
      </c>
    </row>
    <row r="24" spans="1:27" s="73" customFormat="1" ht="23.25" customHeight="1">
      <c r="A24" s="130"/>
      <c r="B24" s="127"/>
      <c r="C24" s="75"/>
      <c r="D24" s="272"/>
      <c r="E24" s="273"/>
      <c r="F24" s="285"/>
      <c r="G24" s="274" t="s">
        <v>274</v>
      </c>
      <c r="H24" s="272"/>
      <c r="I24" s="273"/>
      <c r="J24" s="147"/>
      <c r="K24" s="275"/>
      <c r="L24" s="272"/>
      <c r="M24" s="273"/>
      <c r="N24" s="244"/>
      <c r="O24" s="275"/>
      <c r="P24" s="272"/>
      <c r="Q24" s="273"/>
      <c r="R24" s="147"/>
      <c r="S24" s="275"/>
      <c r="T24" s="272"/>
      <c r="U24" s="273"/>
      <c r="V24" s="147"/>
      <c r="W24" s="275"/>
      <c r="X24" s="273"/>
      <c r="Y24" s="273"/>
      <c r="Z24" s="278"/>
      <c r="AA24" s="243"/>
    </row>
    <row r="25" spans="1:27" s="73" customFormat="1" ht="23.25" customHeight="1">
      <c r="A25" s="130"/>
      <c r="B25" s="126" t="s">
        <v>272</v>
      </c>
      <c r="C25" s="74" t="s">
        <v>135</v>
      </c>
      <c r="D25" s="267">
        <f>SUM(D26:D35)</f>
        <v>15700996</v>
      </c>
      <c r="E25" s="268">
        <f>SUM(E26:E35)</f>
        <v>15551495</v>
      </c>
      <c r="F25" s="242">
        <f aca="true" t="shared" si="13" ref="F25:F37">E25-D25</f>
        <v>-149501</v>
      </c>
      <c r="G25" s="269">
        <f>_xlfn.IFERROR(F25/D25*100,"")</f>
        <v>-0.9521752632762914</v>
      </c>
      <c r="H25" s="267">
        <f>SUM(H26:H35)</f>
        <v>269769</v>
      </c>
      <c r="I25" s="268">
        <f>SUM(I26:I35)</f>
        <v>483199</v>
      </c>
      <c r="J25" s="242">
        <f aca="true" t="shared" si="14" ref="J25:J35">I25-H25</f>
        <v>213430</v>
      </c>
      <c r="K25" s="269">
        <f>_xlfn.IFERROR(J25/H25*100,"")</f>
        <v>79.11583614129125</v>
      </c>
      <c r="L25" s="267">
        <f>SUM(L26:L35)</f>
        <v>72933</v>
      </c>
      <c r="M25" s="268">
        <f>SUM(M26:M35)</f>
        <v>82407</v>
      </c>
      <c r="N25" s="242">
        <f>M25-L25</f>
        <v>9474</v>
      </c>
      <c r="O25" s="269">
        <f>_xlfn.IFERROR(N25/L25*100,"")</f>
        <v>12.990004524700751</v>
      </c>
      <c r="P25" s="267">
        <f>SUM(P26:P35)</f>
        <v>14114626</v>
      </c>
      <c r="Q25" s="268">
        <f>SUM(Q26:Q35)</f>
        <v>13980902</v>
      </c>
      <c r="R25" s="242">
        <f aca="true" t="shared" si="15" ref="R25:R35">Q25-P25</f>
        <v>-133724</v>
      </c>
      <c r="S25" s="269">
        <f>_xlfn.IFERROR(R25/P25*100,"")</f>
        <v>-0.9474144054543138</v>
      </c>
      <c r="T25" s="267">
        <f>SUM(T26:T35)</f>
        <v>1219360</v>
      </c>
      <c r="U25" s="268">
        <f>SUM(U26:U35)</f>
        <v>991100</v>
      </c>
      <c r="V25" s="242">
        <f>U25-T25</f>
        <v>-228260</v>
      </c>
      <c r="W25" s="269">
        <f>_xlfn.IFERROR(V25/T25*100,"")</f>
        <v>-18.719656213095394</v>
      </c>
      <c r="X25" s="268">
        <f>SUM(X26:X35)</f>
        <v>120</v>
      </c>
      <c r="Y25" s="268">
        <f>SUM(Y26:Y35)</f>
        <v>1482</v>
      </c>
      <c r="Z25" s="270">
        <f aca="true" t="shared" si="16" ref="Z25:Z35">Y25-X25</f>
        <v>1362</v>
      </c>
      <c r="AA25" s="271">
        <f>_xlfn.IFERROR(Z25/X25*100,"")</f>
        <v>1135</v>
      </c>
    </row>
    <row r="26" spans="1:27" s="73" customFormat="1" ht="23.25" customHeight="1">
      <c r="A26" s="130"/>
      <c r="B26" s="127"/>
      <c r="C26" s="75" t="s">
        <v>187</v>
      </c>
      <c r="D26" s="279">
        <f aca="true" t="shared" si="17" ref="D26:D35">H26+L26+P26+T26+X26+D63</f>
        <v>5204430</v>
      </c>
      <c r="E26" s="280">
        <f>I26+M26+Q26+U26+Y26+E63</f>
        <v>4642729</v>
      </c>
      <c r="F26" s="147">
        <f t="shared" si="13"/>
        <v>-561701</v>
      </c>
      <c r="G26" s="274">
        <f aca="true" t="shared" si="18" ref="G26:G37">_xlfn.IFERROR(F26/D26*100,"")</f>
        <v>-10.792747716848915</v>
      </c>
      <c r="H26" s="283">
        <v>3380</v>
      </c>
      <c r="I26" s="284">
        <v>53427</v>
      </c>
      <c r="J26" s="147">
        <f t="shared" si="14"/>
        <v>50047</v>
      </c>
      <c r="K26" s="275">
        <f aca="true" t="shared" si="19" ref="K26:K37">_xlfn.IFERROR(J26/H26*100,"")</f>
        <v>1480.680473372781</v>
      </c>
      <c r="L26" s="283">
        <v>6319</v>
      </c>
      <c r="M26" s="284">
        <v>2339</v>
      </c>
      <c r="N26" s="147">
        <f aca="true" t="shared" si="20" ref="N26:N35">M26-L26</f>
        <v>-3980</v>
      </c>
      <c r="O26" s="275">
        <f aca="true" t="shared" si="21" ref="O26:O37">_xlfn.IFERROR(N26/L26*100,"")</f>
        <v>-62.984649469852826</v>
      </c>
      <c r="P26" s="283">
        <v>4648874</v>
      </c>
      <c r="Q26" s="284">
        <v>4253728</v>
      </c>
      <c r="R26" s="147">
        <f t="shared" si="15"/>
        <v>-395146</v>
      </c>
      <c r="S26" s="275">
        <f aca="true" t="shared" si="22" ref="S26:S37">_xlfn.IFERROR(R26/P26*100,"")</f>
        <v>-8.499821677249157</v>
      </c>
      <c r="T26" s="283">
        <v>530100</v>
      </c>
      <c r="U26" s="284">
        <v>321100</v>
      </c>
      <c r="V26" s="147">
        <f aca="true" t="shared" si="23" ref="V26:V35">U26-T26</f>
        <v>-209000</v>
      </c>
      <c r="W26" s="275">
        <f aca="true" t="shared" si="24" ref="W26:W37">_xlfn.IFERROR(V26/T26*100,"")</f>
        <v>-39.42652329749104</v>
      </c>
      <c r="X26" s="284">
        <v>0</v>
      </c>
      <c r="Y26" s="284">
        <v>0</v>
      </c>
      <c r="Z26" s="278">
        <f t="shared" si="16"/>
        <v>0</v>
      </c>
      <c r="AA26" s="243">
        <f aca="true" t="shared" si="25" ref="AA26:AA37">_xlfn.IFERROR(Z26/X26*100,"")</f>
      </c>
    </row>
    <row r="27" spans="1:27" s="73" customFormat="1" ht="23.25" customHeight="1">
      <c r="A27" s="130"/>
      <c r="B27" s="127"/>
      <c r="C27" s="75" t="s">
        <v>188</v>
      </c>
      <c r="D27" s="279">
        <f t="shared" si="17"/>
        <v>2204699</v>
      </c>
      <c r="E27" s="280">
        <f aca="true" t="shared" si="26" ref="E27:E35">I27+M27+Q27+U27+Y27+E64</f>
        <v>2138882</v>
      </c>
      <c r="F27" s="147">
        <f t="shared" si="13"/>
        <v>-65817</v>
      </c>
      <c r="G27" s="274">
        <f t="shared" si="18"/>
        <v>-2.9853054770741947</v>
      </c>
      <c r="H27" s="283">
        <v>24165</v>
      </c>
      <c r="I27" s="284">
        <v>2150</v>
      </c>
      <c r="J27" s="147">
        <f t="shared" si="14"/>
        <v>-22015</v>
      </c>
      <c r="K27" s="275">
        <f t="shared" si="19"/>
        <v>-91.10283467825367</v>
      </c>
      <c r="L27" s="283">
        <v>550</v>
      </c>
      <c r="M27" s="284">
        <v>0</v>
      </c>
      <c r="N27" s="147">
        <f>M27-L27</f>
        <v>-550</v>
      </c>
      <c r="O27" s="275">
        <f>_xlfn.IFERROR(N27/L27*100,"")</f>
        <v>-100</v>
      </c>
      <c r="P27" s="283">
        <v>2167264</v>
      </c>
      <c r="Q27" s="284">
        <v>2134312</v>
      </c>
      <c r="R27" s="147">
        <f t="shared" si="15"/>
        <v>-32952</v>
      </c>
      <c r="S27" s="275">
        <f t="shared" si="22"/>
        <v>-1.5204423641974396</v>
      </c>
      <c r="T27" s="283">
        <v>12600</v>
      </c>
      <c r="U27" s="284">
        <v>1300</v>
      </c>
      <c r="V27" s="147">
        <f t="shared" si="23"/>
        <v>-11300</v>
      </c>
      <c r="W27" s="275">
        <f t="shared" si="24"/>
        <v>-89.68253968253968</v>
      </c>
      <c r="X27" s="284">
        <v>120</v>
      </c>
      <c r="Y27" s="284">
        <v>1120</v>
      </c>
      <c r="Z27" s="278">
        <f t="shared" si="16"/>
        <v>1000</v>
      </c>
      <c r="AA27" s="243">
        <f t="shared" si="25"/>
        <v>833.3333333333334</v>
      </c>
    </row>
    <row r="28" spans="1:27" s="73" customFormat="1" ht="23.25" customHeight="1">
      <c r="A28" s="130"/>
      <c r="B28" s="127"/>
      <c r="C28" s="75" t="s">
        <v>189</v>
      </c>
      <c r="D28" s="279">
        <f t="shared" si="17"/>
        <v>1058139</v>
      </c>
      <c r="E28" s="280">
        <f t="shared" si="26"/>
        <v>1208141</v>
      </c>
      <c r="F28" s="147">
        <f t="shared" si="13"/>
        <v>150002</v>
      </c>
      <c r="G28" s="274">
        <f t="shared" si="18"/>
        <v>14.176020352713584</v>
      </c>
      <c r="H28" s="283">
        <v>42812</v>
      </c>
      <c r="I28" s="284">
        <v>39299</v>
      </c>
      <c r="J28" s="147">
        <f t="shared" si="14"/>
        <v>-3513</v>
      </c>
      <c r="K28" s="275">
        <f t="shared" si="19"/>
        <v>-8.205643277585724</v>
      </c>
      <c r="L28" s="283">
        <v>0</v>
      </c>
      <c r="M28" s="284">
        <v>2045</v>
      </c>
      <c r="N28" s="147">
        <f t="shared" si="20"/>
        <v>2045</v>
      </c>
      <c r="O28" s="275">
        <f t="shared" si="21"/>
      </c>
      <c r="P28" s="283">
        <v>1014144</v>
      </c>
      <c r="Q28" s="284">
        <v>1084847</v>
      </c>
      <c r="R28" s="147">
        <f t="shared" si="15"/>
        <v>70703</v>
      </c>
      <c r="S28" s="275">
        <f t="shared" si="22"/>
        <v>6.971692382935757</v>
      </c>
      <c r="T28" s="283">
        <v>0</v>
      </c>
      <c r="U28" s="284">
        <v>81800</v>
      </c>
      <c r="V28" s="147">
        <f t="shared" si="23"/>
        <v>81800</v>
      </c>
      <c r="W28" s="275">
        <f t="shared" si="24"/>
      </c>
      <c r="X28" s="284">
        <v>0</v>
      </c>
      <c r="Y28" s="284">
        <v>0</v>
      </c>
      <c r="Z28" s="278">
        <f t="shared" si="16"/>
        <v>0</v>
      </c>
      <c r="AA28" s="243">
        <f t="shared" si="25"/>
      </c>
    </row>
    <row r="29" spans="1:27" s="73" customFormat="1" ht="23.25" customHeight="1">
      <c r="A29" s="130"/>
      <c r="B29" s="127"/>
      <c r="C29" s="75" t="s">
        <v>190</v>
      </c>
      <c r="D29" s="279">
        <f t="shared" si="17"/>
        <v>3385138</v>
      </c>
      <c r="E29" s="280">
        <f t="shared" si="26"/>
        <v>3244754</v>
      </c>
      <c r="F29" s="147">
        <f t="shared" si="13"/>
        <v>-140384</v>
      </c>
      <c r="G29" s="274">
        <f t="shared" si="18"/>
        <v>-4.147068745794115</v>
      </c>
      <c r="H29" s="283">
        <v>11910</v>
      </c>
      <c r="I29" s="284">
        <v>300</v>
      </c>
      <c r="J29" s="147">
        <f t="shared" si="14"/>
        <v>-11610</v>
      </c>
      <c r="K29" s="275">
        <f t="shared" si="19"/>
        <v>-97.48110831234257</v>
      </c>
      <c r="L29" s="283">
        <v>0</v>
      </c>
      <c r="M29" s="284">
        <v>0</v>
      </c>
      <c r="N29" s="147">
        <f t="shared" si="20"/>
        <v>0</v>
      </c>
      <c r="O29" s="275">
        <f t="shared" si="21"/>
      </c>
      <c r="P29" s="283">
        <v>2922368</v>
      </c>
      <c r="Q29" s="284">
        <v>2887933</v>
      </c>
      <c r="R29" s="147">
        <f t="shared" si="15"/>
        <v>-34435</v>
      </c>
      <c r="S29" s="275">
        <f t="shared" si="22"/>
        <v>-1.1783252485655469</v>
      </c>
      <c r="T29" s="283">
        <v>450860</v>
      </c>
      <c r="U29" s="284">
        <v>356500</v>
      </c>
      <c r="V29" s="147">
        <f t="shared" si="23"/>
        <v>-94360</v>
      </c>
      <c r="W29" s="275">
        <f t="shared" si="24"/>
        <v>-20.92889145189194</v>
      </c>
      <c r="X29" s="284">
        <v>0</v>
      </c>
      <c r="Y29" s="284">
        <v>21</v>
      </c>
      <c r="Z29" s="278">
        <f t="shared" si="16"/>
        <v>21</v>
      </c>
      <c r="AA29" s="243">
        <f t="shared" si="25"/>
      </c>
    </row>
    <row r="30" spans="1:27" s="73" customFormat="1" ht="23.25" customHeight="1">
      <c r="A30" s="130"/>
      <c r="B30" s="127"/>
      <c r="C30" s="75" t="s">
        <v>191</v>
      </c>
      <c r="D30" s="279">
        <f t="shared" si="17"/>
        <v>252978</v>
      </c>
      <c r="E30" s="280">
        <f t="shared" si="26"/>
        <v>255337</v>
      </c>
      <c r="F30" s="147">
        <f t="shared" si="13"/>
        <v>2359</v>
      </c>
      <c r="G30" s="274">
        <f t="shared" si="18"/>
        <v>0.9324921534678905</v>
      </c>
      <c r="H30" s="283">
        <v>215</v>
      </c>
      <c r="I30" s="284">
        <v>73</v>
      </c>
      <c r="J30" s="147">
        <f t="shared" si="14"/>
        <v>-142</v>
      </c>
      <c r="K30" s="275">
        <f t="shared" si="19"/>
        <v>-66.04651162790698</v>
      </c>
      <c r="L30" s="283">
        <v>0</v>
      </c>
      <c r="M30" s="284">
        <v>147</v>
      </c>
      <c r="N30" s="147">
        <f t="shared" si="20"/>
        <v>147</v>
      </c>
      <c r="O30" s="275">
        <f t="shared" si="21"/>
      </c>
      <c r="P30" s="283">
        <v>252763</v>
      </c>
      <c r="Q30" s="284">
        <v>248317</v>
      </c>
      <c r="R30" s="147">
        <f t="shared" si="15"/>
        <v>-4446</v>
      </c>
      <c r="S30" s="275">
        <f t="shared" si="22"/>
        <v>-1.7589599743633364</v>
      </c>
      <c r="T30" s="283">
        <v>0</v>
      </c>
      <c r="U30" s="284">
        <v>6800</v>
      </c>
      <c r="V30" s="147">
        <f t="shared" si="23"/>
        <v>6800</v>
      </c>
      <c r="W30" s="275">
        <f t="shared" si="24"/>
      </c>
      <c r="X30" s="284">
        <v>0</v>
      </c>
      <c r="Y30" s="284">
        <v>0</v>
      </c>
      <c r="Z30" s="278">
        <f t="shared" si="16"/>
        <v>0</v>
      </c>
      <c r="AA30" s="243">
        <f t="shared" si="25"/>
      </c>
    </row>
    <row r="31" spans="1:27" s="73" customFormat="1" ht="23.25" customHeight="1">
      <c r="A31" s="130"/>
      <c r="B31" s="127"/>
      <c r="C31" s="75" t="s">
        <v>192</v>
      </c>
      <c r="D31" s="279">
        <f t="shared" si="17"/>
        <v>0</v>
      </c>
      <c r="E31" s="280">
        <f t="shared" si="26"/>
        <v>0</v>
      </c>
      <c r="F31" s="147">
        <f t="shared" si="13"/>
        <v>0</v>
      </c>
      <c r="G31" s="274">
        <f t="shared" si="18"/>
      </c>
      <c r="H31" s="283">
        <v>0</v>
      </c>
      <c r="I31" s="284">
        <v>0</v>
      </c>
      <c r="J31" s="147">
        <f t="shared" si="14"/>
        <v>0</v>
      </c>
      <c r="K31" s="275">
        <f t="shared" si="19"/>
      </c>
      <c r="L31" s="283">
        <v>0</v>
      </c>
      <c r="M31" s="284">
        <v>0</v>
      </c>
      <c r="N31" s="147">
        <f t="shared" si="20"/>
        <v>0</v>
      </c>
      <c r="O31" s="275">
        <f t="shared" si="21"/>
      </c>
      <c r="P31" s="283">
        <v>0</v>
      </c>
      <c r="Q31" s="284">
        <v>0</v>
      </c>
      <c r="R31" s="147">
        <f t="shared" si="15"/>
        <v>0</v>
      </c>
      <c r="S31" s="275">
        <f t="shared" si="22"/>
      </c>
      <c r="T31" s="283">
        <v>0</v>
      </c>
      <c r="U31" s="284">
        <v>0</v>
      </c>
      <c r="V31" s="147">
        <f t="shared" si="23"/>
        <v>0</v>
      </c>
      <c r="W31" s="275">
        <f t="shared" si="24"/>
      </c>
      <c r="X31" s="284">
        <v>0</v>
      </c>
      <c r="Y31" s="284">
        <v>0</v>
      </c>
      <c r="Z31" s="278">
        <f t="shared" si="16"/>
        <v>0</v>
      </c>
      <c r="AA31" s="243">
        <f t="shared" si="25"/>
      </c>
    </row>
    <row r="32" spans="1:27" s="73" customFormat="1" ht="23.25" customHeight="1">
      <c r="A32" s="130"/>
      <c r="B32" s="127"/>
      <c r="C32" s="75" t="s">
        <v>193</v>
      </c>
      <c r="D32" s="279">
        <f t="shared" si="17"/>
        <v>1024810</v>
      </c>
      <c r="E32" s="280">
        <f t="shared" si="26"/>
        <v>877857</v>
      </c>
      <c r="F32" s="147">
        <f t="shared" si="13"/>
        <v>-146953</v>
      </c>
      <c r="G32" s="274">
        <f t="shared" si="18"/>
        <v>-14.339536109132425</v>
      </c>
      <c r="H32" s="283">
        <v>0</v>
      </c>
      <c r="I32" s="284">
        <v>2178</v>
      </c>
      <c r="J32" s="147">
        <f t="shared" si="14"/>
        <v>2178</v>
      </c>
      <c r="K32" s="275">
        <f t="shared" si="19"/>
      </c>
      <c r="L32" s="283">
        <v>0</v>
      </c>
      <c r="M32" s="284">
        <v>0</v>
      </c>
      <c r="N32" s="147">
        <f t="shared" si="20"/>
        <v>0</v>
      </c>
      <c r="O32" s="275">
        <f t="shared" si="21"/>
      </c>
      <c r="P32" s="283">
        <v>900962</v>
      </c>
      <c r="Q32" s="284">
        <v>837659</v>
      </c>
      <c r="R32" s="147">
        <f t="shared" si="15"/>
        <v>-63303</v>
      </c>
      <c r="S32" s="275">
        <f t="shared" si="22"/>
        <v>-7.026156486067114</v>
      </c>
      <c r="T32" s="283">
        <v>116600</v>
      </c>
      <c r="U32" s="284">
        <v>37900</v>
      </c>
      <c r="V32" s="147">
        <f t="shared" si="23"/>
        <v>-78700</v>
      </c>
      <c r="W32" s="275">
        <f t="shared" si="24"/>
        <v>-67.49571183533448</v>
      </c>
      <c r="X32" s="284">
        <v>0</v>
      </c>
      <c r="Y32" s="284">
        <v>0</v>
      </c>
      <c r="Z32" s="278">
        <f t="shared" si="16"/>
        <v>0</v>
      </c>
      <c r="AA32" s="243">
        <f t="shared" si="25"/>
      </c>
    </row>
    <row r="33" spans="1:27" s="73" customFormat="1" ht="23.25" customHeight="1">
      <c r="A33" s="130"/>
      <c r="B33" s="127"/>
      <c r="C33" s="75" t="s">
        <v>194</v>
      </c>
      <c r="D33" s="279">
        <f t="shared" si="17"/>
        <v>711070</v>
      </c>
      <c r="E33" s="280">
        <f t="shared" si="26"/>
        <v>1007279</v>
      </c>
      <c r="F33" s="147">
        <f t="shared" si="13"/>
        <v>296209</v>
      </c>
      <c r="G33" s="274">
        <f t="shared" si="18"/>
        <v>41.65679890868691</v>
      </c>
      <c r="H33" s="283">
        <v>484</v>
      </c>
      <c r="I33" s="284">
        <v>2533</v>
      </c>
      <c r="J33" s="147">
        <f t="shared" si="14"/>
        <v>2049</v>
      </c>
      <c r="K33" s="275">
        <f t="shared" si="19"/>
        <v>423.3471074380165</v>
      </c>
      <c r="L33" s="283">
        <v>2744</v>
      </c>
      <c r="M33" s="284">
        <v>1591</v>
      </c>
      <c r="N33" s="147">
        <f t="shared" si="20"/>
        <v>-1153</v>
      </c>
      <c r="O33" s="275">
        <f t="shared" si="21"/>
        <v>-42.018950437317784</v>
      </c>
      <c r="P33" s="283">
        <v>649042</v>
      </c>
      <c r="Q33" s="284">
        <v>907955</v>
      </c>
      <c r="R33" s="147">
        <f t="shared" si="15"/>
        <v>258913</v>
      </c>
      <c r="S33" s="275">
        <f t="shared" si="22"/>
        <v>39.891563257847714</v>
      </c>
      <c r="T33" s="283">
        <v>58800</v>
      </c>
      <c r="U33" s="284">
        <v>95200</v>
      </c>
      <c r="V33" s="147">
        <f t="shared" si="23"/>
        <v>36400</v>
      </c>
      <c r="W33" s="275">
        <f t="shared" si="24"/>
        <v>61.904761904761905</v>
      </c>
      <c r="X33" s="284">
        <v>0</v>
      </c>
      <c r="Y33" s="284">
        <v>0</v>
      </c>
      <c r="Z33" s="278">
        <f t="shared" si="16"/>
        <v>0</v>
      </c>
      <c r="AA33" s="243">
        <f t="shared" si="25"/>
      </c>
    </row>
    <row r="34" spans="1:27" s="73" customFormat="1" ht="23.25" customHeight="1">
      <c r="A34" s="130"/>
      <c r="B34" s="127"/>
      <c r="C34" s="363" t="s">
        <v>195</v>
      </c>
      <c r="D34" s="279">
        <f t="shared" si="17"/>
        <v>1156339</v>
      </c>
      <c r="E34" s="280">
        <f t="shared" si="26"/>
        <v>1218962</v>
      </c>
      <c r="F34" s="147">
        <f t="shared" si="13"/>
        <v>62623</v>
      </c>
      <c r="G34" s="274">
        <f t="shared" si="18"/>
        <v>5.415626386379772</v>
      </c>
      <c r="H34" s="283">
        <v>72511</v>
      </c>
      <c r="I34" s="284">
        <v>69107</v>
      </c>
      <c r="J34" s="147">
        <f t="shared" si="14"/>
        <v>-3404</v>
      </c>
      <c r="K34" s="275">
        <f t="shared" si="19"/>
        <v>-4.6944601508736605</v>
      </c>
      <c r="L34" s="283">
        <v>56620</v>
      </c>
      <c r="M34" s="284">
        <v>62691</v>
      </c>
      <c r="N34" s="147">
        <f t="shared" si="20"/>
        <v>6071</v>
      </c>
      <c r="O34" s="275">
        <f t="shared" si="21"/>
        <v>10.722359590250795</v>
      </c>
      <c r="P34" s="283">
        <v>1021008</v>
      </c>
      <c r="Q34" s="284">
        <v>1081923</v>
      </c>
      <c r="R34" s="147">
        <f t="shared" si="15"/>
        <v>60915</v>
      </c>
      <c r="S34" s="275">
        <f t="shared" si="22"/>
        <v>5.966162850829768</v>
      </c>
      <c r="T34" s="283">
        <v>6200</v>
      </c>
      <c r="U34" s="284">
        <v>4900</v>
      </c>
      <c r="V34" s="147">
        <f t="shared" si="23"/>
        <v>-1300</v>
      </c>
      <c r="W34" s="275">
        <f t="shared" si="24"/>
        <v>-20.967741935483872</v>
      </c>
      <c r="X34" s="284">
        <v>0</v>
      </c>
      <c r="Y34" s="284">
        <v>341</v>
      </c>
      <c r="Z34" s="278">
        <f t="shared" si="16"/>
        <v>341</v>
      </c>
      <c r="AA34" s="243">
        <f t="shared" si="25"/>
      </c>
    </row>
    <row r="35" spans="1:27" s="73" customFormat="1" ht="23.25" customHeight="1">
      <c r="A35" s="130"/>
      <c r="B35" s="127"/>
      <c r="C35" s="75" t="s">
        <v>196</v>
      </c>
      <c r="D35" s="279">
        <f t="shared" si="17"/>
        <v>703393</v>
      </c>
      <c r="E35" s="280">
        <f t="shared" si="26"/>
        <v>957554</v>
      </c>
      <c r="F35" s="147">
        <f t="shared" si="13"/>
        <v>254161</v>
      </c>
      <c r="G35" s="274">
        <f t="shared" si="18"/>
        <v>36.13356971138467</v>
      </c>
      <c r="H35" s="283">
        <v>114292</v>
      </c>
      <c r="I35" s="284">
        <v>314132</v>
      </c>
      <c r="J35" s="147">
        <f t="shared" si="14"/>
        <v>199840</v>
      </c>
      <c r="K35" s="275">
        <f t="shared" si="19"/>
        <v>174.85038322892242</v>
      </c>
      <c r="L35" s="283">
        <v>6700</v>
      </c>
      <c r="M35" s="284">
        <v>13594</v>
      </c>
      <c r="N35" s="147">
        <f t="shared" si="20"/>
        <v>6894</v>
      </c>
      <c r="O35" s="275">
        <f t="shared" si="21"/>
        <v>102.8955223880597</v>
      </c>
      <c r="P35" s="283">
        <v>538201</v>
      </c>
      <c r="Q35" s="284">
        <v>544228</v>
      </c>
      <c r="R35" s="147">
        <f t="shared" si="15"/>
        <v>6027</v>
      </c>
      <c r="S35" s="275">
        <f t="shared" si="22"/>
        <v>1.1198418434748356</v>
      </c>
      <c r="T35" s="283">
        <v>44200</v>
      </c>
      <c r="U35" s="284">
        <v>85600</v>
      </c>
      <c r="V35" s="147">
        <f t="shared" si="23"/>
        <v>41400</v>
      </c>
      <c r="W35" s="275">
        <f t="shared" si="24"/>
        <v>93.66515837104072</v>
      </c>
      <c r="X35" s="284">
        <v>0</v>
      </c>
      <c r="Y35" s="284">
        <v>0</v>
      </c>
      <c r="Z35" s="278">
        <f t="shared" si="16"/>
        <v>0</v>
      </c>
      <c r="AA35" s="243">
        <f t="shared" si="25"/>
      </c>
    </row>
    <row r="36" spans="1:27" s="73" customFormat="1" ht="23.25" customHeight="1">
      <c r="A36" s="130"/>
      <c r="B36" s="127"/>
      <c r="C36" s="75"/>
      <c r="D36" s="286"/>
      <c r="E36" s="287"/>
      <c r="F36" s="147"/>
      <c r="G36" s="274"/>
      <c r="H36" s="272"/>
      <c r="I36" s="273"/>
      <c r="J36" s="244"/>
      <c r="K36" s="274"/>
      <c r="L36" s="272"/>
      <c r="M36" s="273"/>
      <c r="N36" s="147"/>
      <c r="O36" s="275"/>
      <c r="P36" s="272"/>
      <c r="Q36" s="273"/>
      <c r="R36" s="147"/>
      <c r="S36" s="275"/>
      <c r="T36" s="272"/>
      <c r="U36" s="273"/>
      <c r="V36" s="147"/>
      <c r="W36" s="275"/>
      <c r="X36" s="273"/>
      <c r="Y36" s="273"/>
      <c r="Z36" s="278"/>
      <c r="AA36" s="243"/>
    </row>
    <row r="37" spans="1:27" s="73" customFormat="1" ht="23.25" customHeight="1">
      <c r="A37" s="130"/>
      <c r="B37" s="126" t="s">
        <v>273</v>
      </c>
      <c r="C37" s="74" t="s">
        <v>135</v>
      </c>
      <c r="D37" s="267">
        <f>H37+L37+P37+T37+X37</f>
        <v>7711443</v>
      </c>
      <c r="E37" s="268">
        <f>I37+M37+Q37+U37+Y37</f>
        <v>7311979</v>
      </c>
      <c r="F37" s="242">
        <f t="shared" si="13"/>
        <v>-399464</v>
      </c>
      <c r="G37" s="269">
        <f t="shared" si="18"/>
        <v>-5.180145920808855</v>
      </c>
      <c r="H37" s="268">
        <v>38971</v>
      </c>
      <c r="I37" s="268">
        <v>43929</v>
      </c>
      <c r="J37" s="242">
        <f>I37-H37</f>
        <v>4958</v>
      </c>
      <c r="K37" s="269">
        <f t="shared" si="19"/>
        <v>12.722280670241975</v>
      </c>
      <c r="L37" s="267">
        <v>38559</v>
      </c>
      <c r="M37" s="268">
        <v>46112</v>
      </c>
      <c r="N37" s="242">
        <f>M37-L37</f>
        <v>7553</v>
      </c>
      <c r="O37" s="269">
        <f t="shared" si="21"/>
        <v>19.588163593454187</v>
      </c>
      <c r="P37" s="268">
        <v>7505913</v>
      </c>
      <c r="Q37" s="268">
        <v>7090088</v>
      </c>
      <c r="R37" s="242">
        <f>Q37-P37</f>
        <v>-415825</v>
      </c>
      <c r="S37" s="269">
        <f t="shared" si="22"/>
        <v>-5.539965624435029</v>
      </c>
      <c r="T37" s="268">
        <v>127900</v>
      </c>
      <c r="U37" s="268">
        <v>131800</v>
      </c>
      <c r="V37" s="242">
        <f>U37-T37</f>
        <v>3900</v>
      </c>
      <c r="W37" s="269">
        <f t="shared" si="24"/>
        <v>3.0492572322126663</v>
      </c>
      <c r="X37" s="268">
        <v>100</v>
      </c>
      <c r="Y37" s="268">
        <v>50</v>
      </c>
      <c r="Z37" s="270">
        <f>Y37-X37</f>
        <v>-50</v>
      </c>
      <c r="AA37" s="271">
        <f t="shared" si="25"/>
        <v>-50</v>
      </c>
    </row>
    <row r="38" spans="1:27" s="73" customFormat="1" ht="23.25" customHeight="1" thickBot="1">
      <c r="A38" s="125"/>
      <c r="B38" s="128"/>
      <c r="C38" s="77"/>
      <c r="D38" s="288"/>
      <c r="E38" s="289"/>
      <c r="F38" s="148"/>
      <c r="G38" s="290"/>
      <c r="H38" s="288"/>
      <c r="I38" s="289"/>
      <c r="J38" s="148"/>
      <c r="K38" s="290"/>
      <c r="L38" s="288"/>
      <c r="M38" s="289"/>
      <c r="N38" s="148"/>
      <c r="O38" s="290"/>
      <c r="P38" s="288"/>
      <c r="Q38" s="289"/>
      <c r="R38" s="148"/>
      <c r="S38" s="290"/>
      <c r="T38" s="288"/>
      <c r="U38" s="289"/>
      <c r="V38" s="148"/>
      <c r="W38" s="290"/>
      <c r="X38" s="289"/>
      <c r="Y38" s="289"/>
      <c r="Z38" s="148"/>
      <c r="AA38" s="291"/>
    </row>
    <row r="39" spans="1:28" ht="13.5">
      <c r="A39" s="131"/>
      <c r="B39" s="78"/>
      <c r="C39" s="78"/>
      <c r="D39" s="78"/>
      <c r="E39" s="78"/>
      <c r="F39" s="78"/>
      <c r="G39" s="78"/>
      <c r="H39" s="78"/>
      <c r="I39" s="78"/>
      <c r="J39" s="78"/>
      <c r="K39" s="78"/>
      <c r="L39" s="78"/>
      <c r="M39" s="78"/>
      <c r="N39" s="78"/>
      <c r="O39" s="78"/>
      <c r="AA39" s="71"/>
      <c r="AB39" s="71"/>
    </row>
    <row r="40" spans="1:28" ht="14.25" thickBot="1">
      <c r="A40" s="124"/>
      <c r="B40" s="71"/>
      <c r="C40" s="71"/>
      <c r="AA40" s="71"/>
      <c r="AB40" s="71"/>
    </row>
    <row r="41" spans="1:23" s="64" customFormat="1" ht="23.25" customHeight="1">
      <c r="A41" s="1175" t="s">
        <v>165</v>
      </c>
      <c r="B41" s="1176"/>
      <c r="C41" s="1177"/>
      <c r="D41" s="86" t="s">
        <v>207</v>
      </c>
      <c r="E41" s="85"/>
      <c r="F41" s="85"/>
      <c r="G41" s="85"/>
      <c r="H41" s="79" t="s">
        <v>198</v>
      </c>
      <c r="I41" s="80"/>
      <c r="J41" s="80"/>
      <c r="K41" s="80"/>
      <c r="L41" s="90"/>
      <c r="M41" s="80"/>
      <c r="N41" s="80"/>
      <c r="O41" s="80"/>
      <c r="P41" s="90"/>
      <c r="Q41" s="80"/>
      <c r="R41" s="80"/>
      <c r="S41" s="80"/>
      <c r="T41" s="91" t="s">
        <v>208</v>
      </c>
      <c r="U41" s="92"/>
      <c r="V41" s="92"/>
      <c r="W41" s="136"/>
    </row>
    <row r="42" spans="1:23" s="64" customFormat="1" ht="23.25" customHeight="1">
      <c r="A42" s="1178"/>
      <c r="B42" s="1179"/>
      <c r="C42" s="1180"/>
      <c r="D42" s="245" t="s">
        <v>266</v>
      </c>
      <c r="E42" s="246"/>
      <c r="F42" s="246"/>
      <c r="G42" s="246"/>
      <c r="H42" s="88" t="s">
        <v>276</v>
      </c>
      <c r="I42" s="89"/>
      <c r="J42" s="89"/>
      <c r="K42" s="89"/>
      <c r="L42" s="88" t="s">
        <v>209</v>
      </c>
      <c r="M42" s="89"/>
      <c r="N42" s="89"/>
      <c r="O42" s="89"/>
      <c r="P42" s="88" t="s">
        <v>210</v>
      </c>
      <c r="Q42" s="89"/>
      <c r="R42" s="89"/>
      <c r="S42" s="89"/>
      <c r="T42" s="1205" t="s">
        <v>174</v>
      </c>
      <c r="U42" s="1197" t="s">
        <v>170</v>
      </c>
      <c r="V42" s="1198" t="s">
        <v>173</v>
      </c>
      <c r="W42" s="1200" t="s">
        <v>172</v>
      </c>
    </row>
    <row r="43" spans="1:23" s="64" customFormat="1" ht="23.25" customHeight="1">
      <c r="A43" s="1181"/>
      <c r="B43" s="1182"/>
      <c r="C43" s="1183"/>
      <c r="D43" s="70" t="s">
        <v>174</v>
      </c>
      <c r="E43" s="67" t="s">
        <v>170</v>
      </c>
      <c r="F43" s="67" t="s">
        <v>173</v>
      </c>
      <c r="G43" s="68" t="s">
        <v>172</v>
      </c>
      <c r="H43" s="70" t="s">
        <v>174</v>
      </c>
      <c r="I43" s="69" t="s">
        <v>170</v>
      </c>
      <c r="J43" s="67" t="s">
        <v>173</v>
      </c>
      <c r="K43" s="68" t="s">
        <v>172</v>
      </c>
      <c r="L43" s="70" t="s">
        <v>174</v>
      </c>
      <c r="M43" s="69" t="s">
        <v>170</v>
      </c>
      <c r="N43" s="67" t="s">
        <v>173</v>
      </c>
      <c r="O43" s="68" t="s">
        <v>172</v>
      </c>
      <c r="P43" s="70" t="s">
        <v>174</v>
      </c>
      <c r="Q43" s="69" t="s">
        <v>170</v>
      </c>
      <c r="R43" s="67" t="s">
        <v>173</v>
      </c>
      <c r="S43" s="81" t="s">
        <v>172</v>
      </c>
      <c r="T43" s="1206"/>
      <c r="U43" s="1174"/>
      <c r="V43" s="1199"/>
      <c r="W43" s="1202"/>
    </row>
    <row r="44" spans="1:23" ht="23.25" customHeight="1">
      <c r="A44" s="124"/>
      <c r="B44" s="71"/>
      <c r="C44" s="72"/>
      <c r="D44" s="259"/>
      <c r="E44" s="357"/>
      <c r="F44" s="261"/>
      <c r="G44" s="262"/>
      <c r="H44" s="259"/>
      <c r="I44" s="260"/>
      <c r="J44" s="261"/>
      <c r="K44" s="262"/>
      <c r="L44" s="259"/>
      <c r="M44" s="260"/>
      <c r="N44" s="261"/>
      <c r="O44" s="262"/>
      <c r="P44" s="259"/>
      <c r="Q44" s="260"/>
      <c r="R44" s="261"/>
      <c r="S44" s="292"/>
      <c r="T44" s="358"/>
      <c r="U44" s="261"/>
      <c r="V44" s="261"/>
      <c r="W44" s="266"/>
    </row>
    <row r="45" spans="1:23" ht="23.25" customHeight="1">
      <c r="A45" s="129" t="s">
        <v>175</v>
      </c>
      <c r="B45" s="126"/>
      <c r="C45" s="74"/>
      <c r="D45" s="267">
        <f>D47+D62+D74</f>
        <v>24188</v>
      </c>
      <c r="E45" s="293">
        <f>E47+E62+E74</f>
        <v>12405</v>
      </c>
      <c r="F45" s="242">
        <f>E45-D45</f>
        <v>-11783</v>
      </c>
      <c r="G45" s="269">
        <f>_xlfn.IFERROR(F45/D45*100,"")</f>
        <v>-48.71423846535472</v>
      </c>
      <c r="H45" s="267">
        <f>H47+H62+H74</f>
        <v>109225992</v>
      </c>
      <c r="I45" s="268">
        <f>I47+I62+I74</f>
        <v>110198360</v>
      </c>
      <c r="J45" s="242">
        <f>I45-H45</f>
        <v>972368</v>
      </c>
      <c r="K45" s="269">
        <f>_xlfn.IFERROR(J45/H45*100,"")</f>
        <v>0.8902349909534353</v>
      </c>
      <c r="L45" s="267">
        <f>L47+L62+L74</f>
        <v>17100412</v>
      </c>
      <c r="M45" s="268">
        <f>M47+M62+M74</f>
        <v>12967037</v>
      </c>
      <c r="N45" s="242">
        <f>M45-L45</f>
        <v>-4133375</v>
      </c>
      <c r="O45" s="269">
        <f>_xlfn.IFERROR(N45/L45*100,"")</f>
        <v>-24.171201255268002</v>
      </c>
      <c r="P45" s="267">
        <f>P47+P62+P74</f>
        <v>7584422</v>
      </c>
      <c r="Q45" s="268">
        <f>Q47+Q62+Q74</f>
        <v>7994915</v>
      </c>
      <c r="R45" s="242">
        <f>Q45-P45</f>
        <v>410493</v>
      </c>
      <c r="S45" s="250">
        <f>_xlfn.IFERROR(R45/P45*100,"")</f>
        <v>5.412317510813613</v>
      </c>
      <c r="T45" s="268">
        <f>T47+T62+T74</f>
        <v>749103</v>
      </c>
      <c r="U45" s="268">
        <f>U47+U62+U74</f>
        <v>681599</v>
      </c>
      <c r="V45" s="242">
        <f>U45-T45</f>
        <v>-67504</v>
      </c>
      <c r="W45" s="271">
        <f>_xlfn.IFERROR(V45/T45*100,"")</f>
        <v>-9.011310861123237</v>
      </c>
    </row>
    <row r="46" spans="1:23" ht="23.25" customHeight="1">
      <c r="A46" s="130"/>
      <c r="B46" s="127"/>
      <c r="C46" s="75"/>
      <c r="D46" s="272"/>
      <c r="E46" s="359"/>
      <c r="F46" s="147"/>
      <c r="G46" s="275"/>
      <c r="H46" s="272"/>
      <c r="I46" s="273"/>
      <c r="J46" s="147"/>
      <c r="K46" s="275"/>
      <c r="L46" s="272"/>
      <c r="M46" s="273"/>
      <c r="N46" s="147"/>
      <c r="O46" s="275"/>
      <c r="P46" s="272"/>
      <c r="Q46" s="273"/>
      <c r="R46" s="147"/>
      <c r="S46" s="294"/>
      <c r="T46" s="360"/>
      <c r="U46" s="276"/>
      <c r="V46" s="147"/>
      <c r="W46" s="243"/>
    </row>
    <row r="47" spans="1:23" ht="23.25" customHeight="1">
      <c r="A47" s="130"/>
      <c r="B47" s="126" t="s">
        <v>176</v>
      </c>
      <c r="C47" s="74" t="s">
        <v>135</v>
      </c>
      <c r="D47" s="296"/>
      <c r="E47" s="297"/>
      <c r="F47" s="298"/>
      <c r="G47" s="299"/>
      <c r="H47" s="267">
        <f>SUM(H48:H60)</f>
        <v>90341007</v>
      </c>
      <c r="I47" s="268">
        <f>SUM(I48:I60)</f>
        <v>91500406</v>
      </c>
      <c r="J47" s="242">
        <f>I47-H47</f>
        <v>1159399</v>
      </c>
      <c r="K47" s="269">
        <f aca="true" t="shared" si="27" ref="K47:K60">_xlfn.IFERROR(J47/H47*100,"")</f>
        <v>1.2833585085010177</v>
      </c>
      <c r="L47" s="267">
        <f>SUM(L48:L60)</f>
        <v>14049617</v>
      </c>
      <c r="M47" s="268">
        <f>SUM(M48:M60)</f>
        <v>10445672</v>
      </c>
      <c r="N47" s="242">
        <f>M47-L47</f>
        <v>-3603945</v>
      </c>
      <c r="O47" s="269">
        <f aca="true" t="shared" si="28" ref="O47:O60">_xlfn.IFERROR(N47/L47*100,"")</f>
        <v>-25.65155334839377</v>
      </c>
      <c r="P47" s="267">
        <f>SUM(P48:P60)</f>
        <v>6107763</v>
      </c>
      <c r="Q47" s="268">
        <f>SUM(Q48:Q60)</f>
        <v>6350760</v>
      </c>
      <c r="R47" s="242">
        <f>Q47-P47</f>
        <v>242997</v>
      </c>
      <c r="S47" s="250">
        <f aca="true" t="shared" si="29" ref="S47:S60">_xlfn.IFERROR(R47/P47*100,"")</f>
        <v>3.978494253951897</v>
      </c>
      <c r="T47" s="268">
        <f>SUM(T48:T60)</f>
        <v>160090</v>
      </c>
      <c r="U47" s="268">
        <f>SUM(U48:U60)</f>
        <v>155399</v>
      </c>
      <c r="V47" s="242">
        <f>U47-T47</f>
        <v>-4691</v>
      </c>
      <c r="W47" s="271">
        <f aca="true" t="shared" si="30" ref="W47:W60">_xlfn.IFERROR(V47/T47*100,"")</f>
        <v>-2.930226747454557</v>
      </c>
    </row>
    <row r="48" spans="1:24" ht="23.25" customHeight="1">
      <c r="A48" s="130"/>
      <c r="B48" s="127"/>
      <c r="C48" s="75" t="s">
        <v>177</v>
      </c>
      <c r="D48" s="296"/>
      <c r="E48" s="297"/>
      <c r="F48" s="298"/>
      <c r="G48" s="299"/>
      <c r="H48" s="284">
        <v>1460184</v>
      </c>
      <c r="I48" s="284">
        <v>1397012</v>
      </c>
      <c r="J48" s="147">
        <f aca="true" t="shared" si="31" ref="J48:J58">I48-H48</f>
        <v>-63172</v>
      </c>
      <c r="K48" s="275">
        <f t="shared" si="27"/>
        <v>-4.326304082225254</v>
      </c>
      <c r="L48" s="284">
        <v>121569</v>
      </c>
      <c r="M48" s="284">
        <v>23407</v>
      </c>
      <c r="N48" s="147">
        <f aca="true" t="shared" si="32" ref="N48:N58">M48-L48</f>
        <v>-98162</v>
      </c>
      <c r="O48" s="275">
        <f t="shared" si="28"/>
        <v>-80.74591384316724</v>
      </c>
      <c r="P48" s="284">
        <v>62545</v>
      </c>
      <c r="Q48" s="284">
        <v>73330</v>
      </c>
      <c r="R48" s="147">
        <f aca="true" t="shared" si="33" ref="R48:R58">Q48-P48</f>
        <v>10785</v>
      </c>
      <c r="S48" s="294">
        <f t="shared" si="29"/>
        <v>17.243584619074266</v>
      </c>
      <c r="T48" s="300">
        <v>12749</v>
      </c>
      <c r="U48" s="300">
        <v>6829</v>
      </c>
      <c r="V48" s="147">
        <f aca="true" t="shared" si="34" ref="V48:V58">U48-T48</f>
        <v>-5920</v>
      </c>
      <c r="W48" s="243">
        <f t="shared" si="30"/>
        <v>-46.43501451094203</v>
      </c>
      <c r="X48" s="257"/>
    </row>
    <row r="49" spans="1:24" ht="23.25" customHeight="1">
      <c r="A49" s="130"/>
      <c r="B49" s="127"/>
      <c r="C49" s="75" t="s">
        <v>178</v>
      </c>
      <c r="D49" s="296"/>
      <c r="E49" s="297"/>
      <c r="F49" s="298"/>
      <c r="G49" s="299"/>
      <c r="H49" s="284">
        <v>56463656</v>
      </c>
      <c r="I49" s="284">
        <v>56328211</v>
      </c>
      <c r="J49" s="147">
        <f t="shared" si="31"/>
        <v>-135445</v>
      </c>
      <c r="K49" s="275">
        <f t="shared" si="27"/>
        <v>-0.23987996809841713</v>
      </c>
      <c r="L49" s="284">
        <v>8785677</v>
      </c>
      <c r="M49" s="284">
        <v>7457243</v>
      </c>
      <c r="N49" s="147">
        <f t="shared" si="32"/>
        <v>-1328434</v>
      </c>
      <c r="O49" s="275">
        <f t="shared" si="28"/>
        <v>-15.120451161589482</v>
      </c>
      <c r="P49" s="284">
        <v>3613033</v>
      </c>
      <c r="Q49" s="284">
        <v>3976725</v>
      </c>
      <c r="R49" s="147">
        <f t="shared" si="33"/>
        <v>363692</v>
      </c>
      <c r="S49" s="294">
        <f t="shared" si="29"/>
        <v>10.066113428800678</v>
      </c>
      <c r="T49" s="300">
        <v>61284</v>
      </c>
      <c r="U49" s="300">
        <v>56843</v>
      </c>
      <c r="V49" s="147">
        <f t="shared" si="34"/>
        <v>-4441</v>
      </c>
      <c r="W49" s="243">
        <f t="shared" si="30"/>
        <v>-7.246589648195287</v>
      </c>
      <c r="X49" s="257"/>
    </row>
    <row r="50" spans="1:24" ht="23.25" customHeight="1">
      <c r="A50" s="130"/>
      <c r="B50" s="127"/>
      <c r="C50" s="75" t="s">
        <v>179</v>
      </c>
      <c r="D50" s="296"/>
      <c r="E50" s="297"/>
      <c r="F50" s="298"/>
      <c r="G50" s="299"/>
      <c r="H50" s="284">
        <v>31550447</v>
      </c>
      <c r="I50" s="284">
        <v>32301258</v>
      </c>
      <c r="J50" s="147">
        <f t="shared" si="31"/>
        <v>750811</v>
      </c>
      <c r="K50" s="275">
        <f t="shared" si="27"/>
        <v>2.3797158880189557</v>
      </c>
      <c r="L50" s="284">
        <v>4939995</v>
      </c>
      <c r="M50" s="284">
        <v>2939414</v>
      </c>
      <c r="N50" s="147">
        <f t="shared" si="32"/>
        <v>-2000581</v>
      </c>
      <c r="O50" s="275">
        <f t="shared" si="28"/>
        <v>-40.49763208262356</v>
      </c>
      <c r="P50" s="284">
        <v>2431675</v>
      </c>
      <c r="Q50" s="284">
        <v>2299846</v>
      </c>
      <c r="R50" s="147">
        <f t="shared" si="33"/>
        <v>-131829</v>
      </c>
      <c r="S50" s="294">
        <f t="shared" si="29"/>
        <v>-5.421324806974616</v>
      </c>
      <c r="T50" s="300">
        <v>35186</v>
      </c>
      <c r="U50" s="300">
        <v>32626</v>
      </c>
      <c r="V50" s="147">
        <f t="shared" si="34"/>
        <v>-2560</v>
      </c>
      <c r="W50" s="243">
        <f t="shared" si="30"/>
        <v>-7.27562098561928</v>
      </c>
      <c r="X50" s="257"/>
    </row>
    <row r="51" spans="1:24" ht="23.25" customHeight="1">
      <c r="A51" s="130"/>
      <c r="B51" s="127"/>
      <c r="C51" s="75" t="s">
        <v>241</v>
      </c>
      <c r="D51" s="296"/>
      <c r="E51" s="297"/>
      <c r="F51" s="298"/>
      <c r="G51" s="299"/>
      <c r="H51" s="284">
        <v>0</v>
      </c>
      <c r="I51" s="284">
        <v>0</v>
      </c>
      <c r="J51" s="147">
        <f t="shared" si="31"/>
        <v>0</v>
      </c>
      <c r="K51" s="275">
        <f t="shared" si="27"/>
      </c>
      <c r="L51" s="284">
        <v>0</v>
      </c>
      <c r="M51" s="284">
        <v>0</v>
      </c>
      <c r="N51" s="147">
        <f t="shared" si="32"/>
        <v>0</v>
      </c>
      <c r="O51" s="275">
        <f t="shared" si="28"/>
      </c>
      <c r="P51" s="284"/>
      <c r="Q51" s="284"/>
      <c r="R51" s="147">
        <f t="shared" si="33"/>
        <v>0</v>
      </c>
      <c r="S51" s="294">
        <f t="shared" si="29"/>
      </c>
      <c r="T51" s="300">
        <v>0</v>
      </c>
      <c r="U51" s="300">
        <v>0</v>
      </c>
      <c r="V51" s="147">
        <f t="shared" si="34"/>
        <v>0</v>
      </c>
      <c r="W51" s="243">
        <f t="shared" si="30"/>
      </c>
      <c r="X51" s="257"/>
    </row>
    <row r="52" spans="1:24" ht="23.25" customHeight="1">
      <c r="A52" s="130"/>
      <c r="B52" s="127"/>
      <c r="C52" s="75" t="s">
        <v>180</v>
      </c>
      <c r="D52" s="296"/>
      <c r="E52" s="297"/>
      <c r="F52" s="298"/>
      <c r="G52" s="299"/>
      <c r="H52" s="284">
        <v>0</v>
      </c>
      <c r="I52" s="284">
        <v>0</v>
      </c>
      <c r="J52" s="147">
        <f t="shared" si="31"/>
        <v>0</v>
      </c>
      <c r="K52" s="275">
        <f t="shared" si="27"/>
      </c>
      <c r="L52" s="284">
        <v>0</v>
      </c>
      <c r="M52" s="284">
        <v>0</v>
      </c>
      <c r="N52" s="147">
        <f t="shared" si="32"/>
        <v>0</v>
      </c>
      <c r="O52" s="275">
        <f t="shared" si="28"/>
      </c>
      <c r="P52" s="284">
        <v>0</v>
      </c>
      <c r="Q52" s="284">
        <v>0</v>
      </c>
      <c r="R52" s="147">
        <f t="shared" si="33"/>
        <v>0</v>
      </c>
      <c r="S52" s="294">
        <f t="shared" si="29"/>
      </c>
      <c r="T52" s="300">
        <v>0</v>
      </c>
      <c r="U52" s="300">
        <v>0</v>
      </c>
      <c r="V52" s="147">
        <f t="shared" si="34"/>
        <v>0</v>
      </c>
      <c r="W52" s="243">
        <f t="shared" si="30"/>
      </c>
      <c r="X52" s="257"/>
    </row>
    <row r="53" spans="1:24" ht="23.25" customHeight="1">
      <c r="A53" s="130"/>
      <c r="B53" s="127"/>
      <c r="C53" s="75" t="s">
        <v>181</v>
      </c>
      <c r="D53" s="296"/>
      <c r="E53" s="297"/>
      <c r="F53" s="298"/>
      <c r="G53" s="299"/>
      <c r="H53" s="284">
        <v>0</v>
      </c>
      <c r="I53" s="284">
        <v>0</v>
      </c>
      <c r="J53" s="147">
        <f t="shared" si="31"/>
        <v>0</v>
      </c>
      <c r="K53" s="275">
        <f t="shared" si="27"/>
      </c>
      <c r="L53" s="284">
        <v>0</v>
      </c>
      <c r="M53" s="284">
        <v>0</v>
      </c>
      <c r="N53" s="147">
        <f t="shared" si="32"/>
        <v>0</v>
      </c>
      <c r="O53" s="275">
        <f t="shared" si="28"/>
      </c>
      <c r="P53" s="284">
        <v>0</v>
      </c>
      <c r="Q53" s="284">
        <v>0</v>
      </c>
      <c r="R53" s="147">
        <f t="shared" si="33"/>
        <v>0</v>
      </c>
      <c r="S53" s="294">
        <f t="shared" si="29"/>
      </c>
      <c r="T53" s="300">
        <v>0</v>
      </c>
      <c r="U53" s="300">
        <v>0</v>
      </c>
      <c r="V53" s="147">
        <f t="shared" si="34"/>
        <v>0</v>
      </c>
      <c r="W53" s="243">
        <f t="shared" si="30"/>
      </c>
      <c r="X53" s="257"/>
    </row>
    <row r="54" spans="1:24" ht="23.25" customHeight="1">
      <c r="A54" s="130"/>
      <c r="B54" s="127"/>
      <c r="C54" s="75" t="s">
        <v>182</v>
      </c>
      <c r="D54" s="296"/>
      <c r="E54" s="297"/>
      <c r="F54" s="298"/>
      <c r="G54" s="299"/>
      <c r="H54" s="284">
        <v>0</v>
      </c>
      <c r="I54" s="284">
        <v>0</v>
      </c>
      <c r="J54" s="147">
        <f t="shared" si="31"/>
        <v>0</v>
      </c>
      <c r="K54" s="275">
        <f t="shared" si="27"/>
      </c>
      <c r="L54" s="284">
        <v>0</v>
      </c>
      <c r="M54" s="284">
        <v>0</v>
      </c>
      <c r="N54" s="147">
        <f t="shared" si="32"/>
        <v>0</v>
      </c>
      <c r="O54" s="275">
        <f t="shared" si="28"/>
      </c>
      <c r="P54" s="284">
        <v>0</v>
      </c>
      <c r="Q54" s="284">
        <v>0</v>
      </c>
      <c r="R54" s="147">
        <f t="shared" si="33"/>
        <v>0</v>
      </c>
      <c r="S54" s="294">
        <f t="shared" si="29"/>
      </c>
      <c r="T54" s="300">
        <v>0</v>
      </c>
      <c r="U54" s="300">
        <v>0</v>
      </c>
      <c r="V54" s="147">
        <f t="shared" si="34"/>
        <v>0</v>
      </c>
      <c r="W54" s="243">
        <f t="shared" si="30"/>
      </c>
      <c r="X54" s="257"/>
    </row>
    <row r="55" spans="1:24" ht="23.25" customHeight="1">
      <c r="A55" s="130"/>
      <c r="B55" s="127"/>
      <c r="C55" s="75" t="s">
        <v>38</v>
      </c>
      <c r="D55" s="296"/>
      <c r="E55" s="297"/>
      <c r="F55" s="298"/>
      <c r="G55" s="299"/>
      <c r="H55" s="284">
        <v>0</v>
      </c>
      <c r="I55" s="284">
        <v>0</v>
      </c>
      <c r="J55" s="147">
        <f t="shared" si="31"/>
        <v>0</v>
      </c>
      <c r="K55" s="275">
        <f t="shared" si="27"/>
      </c>
      <c r="L55" s="284">
        <v>0</v>
      </c>
      <c r="M55" s="284">
        <v>0</v>
      </c>
      <c r="N55" s="147">
        <f t="shared" si="32"/>
        <v>0</v>
      </c>
      <c r="O55" s="275">
        <f t="shared" si="28"/>
      </c>
      <c r="P55" s="284">
        <v>0</v>
      </c>
      <c r="Q55" s="284">
        <v>0</v>
      </c>
      <c r="R55" s="147">
        <f t="shared" si="33"/>
        <v>0</v>
      </c>
      <c r="S55" s="294">
        <f t="shared" si="29"/>
      </c>
      <c r="T55" s="300">
        <v>0</v>
      </c>
      <c r="U55" s="300">
        <v>0</v>
      </c>
      <c r="V55" s="147">
        <f t="shared" si="34"/>
        <v>0</v>
      </c>
      <c r="W55" s="243">
        <f t="shared" si="30"/>
      </c>
      <c r="X55" s="257"/>
    </row>
    <row r="56" spans="1:24" ht="23.25" customHeight="1">
      <c r="A56" s="130"/>
      <c r="B56" s="127"/>
      <c r="C56" s="75" t="s">
        <v>183</v>
      </c>
      <c r="D56" s="296"/>
      <c r="E56" s="297"/>
      <c r="F56" s="298"/>
      <c r="G56" s="299"/>
      <c r="H56" s="284">
        <v>0</v>
      </c>
      <c r="I56" s="284">
        <v>0</v>
      </c>
      <c r="J56" s="147">
        <f t="shared" si="31"/>
        <v>0</v>
      </c>
      <c r="K56" s="275">
        <f t="shared" si="27"/>
      </c>
      <c r="L56" s="284">
        <v>0</v>
      </c>
      <c r="M56" s="284">
        <v>0</v>
      </c>
      <c r="N56" s="147">
        <f t="shared" si="32"/>
        <v>0</v>
      </c>
      <c r="O56" s="275">
        <f t="shared" si="28"/>
      </c>
      <c r="P56" s="284">
        <v>0</v>
      </c>
      <c r="Q56" s="284">
        <v>0</v>
      </c>
      <c r="R56" s="147">
        <f t="shared" si="33"/>
        <v>0</v>
      </c>
      <c r="S56" s="294">
        <f t="shared" si="29"/>
      </c>
      <c r="T56" s="300">
        <v>0</v>
      </c>
      <c r="U56" s="300">
        <v>0</v>
      </c>
      <c r="V56" s="147">
        <f t="shared" si="34"/>
        <v>0</v>
      </c>
      <c r="W56" s="243">
        <f t="shared" si="30"/>
      </c>
      <c r="X56" s="257"/>
    </row>
    <row r="57" spans="1:24" ht="23.25" customHeight="1">
      <c r="A57" s="130"/>
      <c r="B57" s="127"/>
      <c r="C57" s="75" t="s">
        <v>184</v>
      </c>
      <c r="D57" s="296"/>
      <c r="E57" s="297"/>
      <c r="F57" s="298"/>
      <c r="G57" s="299"/>
      <c r="H57" s="284">
        <v>0</v>
      </c>
      <c r="I57" s="284">
        <v>0</v>
      </c>
      <c r="J57" s="147">
        <f t="shared" si="31"/>
        <v>0</v>
      </c>
      <c r="K57" s="275">
        <f t="shared" si="27"/>
      </c>
      <c r="L57" s="284">
        <v>0</v>
      </c>
      <c r="M57" s="284">
        <v>0</v>
      </c>
      <c r="N57" s="147">
        <f t="shared" si="32"/>
        <v>0</v>
      </c>
      <c r="O57" s="275">
        <f t="shared" si="28"/>
      </c>
      <c r="P57" s="284">
        <v>0</v>
      </c>
      <c r="Q57" s="284">
        <v>0</v>
      </c>
      <c r="R57" s="147">
        <f t="shared" si="33"/>
        <v>0</v>
      </c>
      <c r="S57" s="294">
        <f t="shared" si="29"/>
      </c>
      <c r="T57" s="300">
        <v>0</v>
      </c>
      <c r="U57" s="300">
        <v>0</v>
      </c>
      <c r="V57" s="147">
        <f t="shared" si="34"/>
        <v>0</v>
      </c>
      <c r="W57" s="243">
        <f t="shared" si="30"/>
      </c>
      <c r="X57" s="257"/>
    </row>
    <row r="58" spans="1:24" ht="23.25" customHeight="1">
      <c r="A58" s="130"/>
      <c r="B58" s="127"/>
      <c r="C58" s="75" t="s">
        <v>185</v>
      </c>
      <c r="D58" s="296"/>
      <c r="E58" s="297"/>
      <c r="F58" s="298"/>
      <c r="G58" s="299"/>
      <c r="H58" s="284">
        <v>0</v>
      </c>
      <c r="I58" s="284">
        <v>0</v>
      </c>
      <c r="J58" s="147">
        <f t="shared" si="31"/>
        <v>0</v>
      </c>
      <c r="K58" s="275">
        <f t="shared" si="27"/>
      </c>
      <c r="L58" s="284">
        <v>0</v>
      </c>
      <c r="M58" s="284">
        <v>0</v>
      </c>
      <c r="N58" s="147">
        <f t="shared" si="32"/>
        <v>0</v>
      </c>
      <c r="O58" s="275">
        <f t="shared" si="28"/>
      </c>
      <c r="P58" s="284">
        <v>0</v>
      </c>
      <c r="Q58" s="284">
        <v>0</v>
      </c>
      <c r="R58" s="147">
        <f t="shared" si="33"/>
        <v>0</v>
      </c>
      <c r="S58" s="294">
        <f t="shared" si="29"/>
      </c>
      <c r="T58" s="300">
        <v>0</v>
      </c>
      <c r="U58" s="300">
        <v>0</v>
      </c>
      <c r="V58" s="147">
        <f t="shared" si="34"/>
        <v>0</v>
      </c>
      <c r="W58" s="243">
        <f t="shared" si="30"/>
      </c>
      <c r="X58" s="257"/>
    </row>
    <row r="59" spans="1:24" ht="23.25" customHeight="1">
      <c r="A59" s="130"/>
      <c r="B59" s="127"/>
      <c r="C59" s="75" t="s">
        <v>320</v>
      </c>
      <c r="D59" s="296"/>
      <c r="E59" s="297"/>
      <c r="F59" s="298"/>
      <c r="G59" s="299"/>
      <c r="H59" s="284">
        <v>866720</v>
      </c>
      <c r="I59" s="284">
        <v>1473925</v>
      </c>
      <c r="J59" s="147">
        <f>I59-H59</f>
        <v>607205</v>
      </c>
      <c r="K59" s="275">
        <f t="shared" si="27"/>
        <v>70.05780413513014</v>
      </c>
      <c r="L59" s="284">
        <v>202376</v>
      </c>
      <c r="M59" s="284">
        <v>25608</v>
      </c>
      <c r="N59" s="147">
        <f>M59-L59</f>
        <v>-176768</v>
      </c>
      <c r="O59" s="275">
        <f t="shared" si="28"/>
        <v>-87.34632565126299</v>
      </c>
      <c r="P59" s="284">
        <v>510</v>
      </c>
      <c r="Q59" s="284">
        <v>859</v>
      </c>
      <c r="R59" s="147">
        <f>Q59-P59</f>
        <v>349</v>
      </c>
      <c r="S59" s="294">
        <f t="shared" si="29"/>
        <v>68.43137254901961</v>
      </c>
      <c r="T59" s="300">
        <v>50871</v>
      </c>
      <c r="U59" s="300">
        <v>59101</v>
      </c>
      <c r="V59" s="147">
        <f>U59-T59</f>
        <v>8230</v>
      </c>
      <c r="W59" s="243">
        <f t="shared" si="30"/>
        <v>16.178176171099448</v>
      </c>
      <c r="X59" s="257"/>
    </row>
    <row r="60" spans="1:24" ht="23.25" customHeight="1">
      <c r="A60" s="130"/>
      <c r="B60" s="127"/>
      <c r="C60" s="75" t="s">
        <v>319</v>
      </c>
      <c r="D60" s="296"/>
      <c r="E60" s="297"/>
      <c r="F60" s="298"/>
      <c r="G60" s="299"/>
      <c r="H60" s="284"/>
      <c r="I60" s="284"/>
      <c r="J60" s="147">
        <f>I60-H60</f>
        <v>0</v>
      </c>
      <c r="K60" s="275">
        <f t="shared" si="27"/>
      </c>
      <c r="L60" s="284"/>
      <c r="M60" s="284"/>
      <c r="N60" s="147">
        <f>M60-L60</f>
        <v>0</v>
      </c>
      <c r="O60" s="275">
        <f t="shared" si="28"/>
      </c>
      <c r="P60" s="284"/>
      <c r="Q60" s="284"/>
      <c r="R60" s="147">
        <f>Q60-P60</f>
        <v>0</v>
      </c>
      <c r="S60" s="294">
        <f t="shared" si="29"/>
      </c>
      <c r="T60" s="300">
        <v>0</v>
      </c>
      <c r="U60" s="300">
        <v>0</v>
      </c>
      <c r="V60" s="147">
        <f>U60-T60</f>
        <v>0</v>
      </c>
      <c r="W60" s="243">
        <f t="shared" si="30"/>
      </c>
      <c r="X60" s="257"/>
    </row>
    <row r="61" spans="1:23" ht="23.25" customHeight="1">
      <c r="A61" s="130"/>
      <c r="B61" s="127"/>
      <c r="C61" s="75"/>
      <c r="D61" s="272"/>
      <c r="E61" s="359"/>
      <c r="F61" s="244"/>
      <c r="G61" s="277"/>
      <c r="H61" s="272"/>
      <c r="I61" s="273"/>
      <c r="J61" s="147"/>
      <c r="K61" s="275"/>
      <c r="L61" s="272"/>
      <c r="M61" s="273"/>
      <c r="N61" s="147"/>
      <c r="O61" s="275"/>
      <c r="P61" s="272"/>
      <c r="Q61" s="273"/>
      <c r="R61" s="147"/>
      <c r="S61" s="294"/>
      <c r="T61" s="360"/>
      <c r="U61" s="276"/>
      <c r="V61" s="147"/>
      <c r="W61" s="243"/>
    </row>
    <row r="62" spans="1:24" ht="23.25" customHeight="1">
      <c r="A62" s="130"/>
      <c r="B62" s="126" t="s">
        <v>272</v>
      </c>
      <c r="C62" s="74" t="s">
        <v>135</v>
      </c>
      <c r="D62" s="267">
        <f>SUM(D63:D72)</f>
        <v>24188</v>
      </c>
      <c r="E62" s="301">
        <f>SUM(E63:E72)</f>
        <v>12405</v>
      </c>
      <c r="F62" s="242">
        <f>E62-D62</f>
        <v>-11783</v>
      </c>
      <c r="G62" s="269">
        <f>_xlfn.IFERROR(F62/D62*100,"")</f>
        <v>-48.71423846535472</v>
      </c>
      <c r="H62" s="267">
        <f>SUM(H63:H72)</f>
        <v>11336207</v>
      </c>
      <c r="I62" s="268">
        <f>SUM(I63:I72)</f>
        <v>11482868</v>
      </c>
      <c r="J62" s="242">
        <f aca="true" t="shared" si="35" ref="J62:J72">I62-H62</f>
        <v>146661</v>
      </c>
      <c r="K62" s="269">
        <f>_xlfn.IFERROR(J62/H62*100,"")</f>
        <v>1.2937396079658743</v>
      </c>
      <c r="L62" s="267">
        <f>SUM(L63:L72)</f>
        <v>2906549</v>
      </c>
      <c r="M62" s="268">
        <f>SUM(M63:M72)</f>
        <v>2426554</v>
      </c>
      <c r="N62" s="242">
        <f aca="true" t="shared" si="36" ref="N62:N72">M62-L62</f>
        <v>-479995</v>
      </c>
      <c r="O62" s="269">
        <f>_xlfn.IFERROR(N62/L62*100,"")</f>
        <v>-16.514257973975322</v>
      </c>
      <c r="P62" s="267">
        <f>SUM(P63:P72)</f>
        <v>1458240</v>
      </c>
      <c r="Q62" s="268">
        <f>SUM(Q63:Q72)</f>
        <v>1642073</v>
      </c>
      <c r="R62" s="242">
        <f aca="true" t="shared" si="37" ref="R62:R72">Q62-P62</f>
        <v>183833</v>
      </c>
      <c r="S62" s="250">
        <f>_xlfn.IFERROR(R62/P62*100,"")</f>
        <v>12.606498244459075</v>
      </c>
      <c r="T62" s="301">
        <v>511520</v>
      </c>
      <c r="U62" s="301">
        <v>441518</v>
      </c>
      <c r="V62" s="242">
        <f>U62-T62</f>
        <v>-70002</v>
      </c>
      <c r="W62" s="271">
        <f>_xlfn.IFERROR(V62/T62*100,"")</f>
        <v>-13.685095401939318</v>
      </c>
      <c r="X62" s="257"/>
    </row>
    <row r="63" spans="1:24" ht="23.25" customHeight="1">
      <c r="A63" s="130"/>
      <c r="B63" s="127"/>
      <c r="C63" s="75" t="s">
        <v>187</v>
      </c>
      <c r="D63" s="300">
        <v>15757</v>
      </c>
      <c r="E63" s="300">
        <v>12135</v>
      </c>
      <c r="F63" s="147">
        <f aca="true" t="shared" si="38" ref="F63:F72">E63-D63</f>
        <v>-3622</v>
      </c>
      <c r="G63" s="275">
        <f aca="true" t="shared" si="39" ref="G63:G72">_xlfn.IFERROR(F63/D63*100,"")</f>
        <v>-22.98660912610268</v>
      </c>
      <c r="H63" s="284">
        <v>3776224</v>
      </c>
      <c r="I63" s="284">
        <v>3277202</v>
      </c>
      <c r="J63" s="147">
        <f t="shared" si="35"/>
        <v>-499022</v>
      </c>
      <c r="K63" s="275">
        <f aca="true" t="shared" si="40" ref="K63:K72">_xlfn.IFERROR(J63/H63*100,"")</f>
        <v>-13.214841068750157</v>
      </c>
      <c r="L63" s="284">
        <v>1069460</v>
      </c>
      <c r="M63" s="284">
        <v>955415</v>
      </c>
      <c r="N63" s="147">
        <f t="shared" si="36"/>
        <v>-114045</v>
      </c>
      <c r="O63" s="275">
        <f aca="true" t="shared" si="41" ref="O63:O74">_xlfn.IFERROR(N63/L63*100,"")</f>
        <v>-10.66379294223253</v>
      </c>
      <c r="P63" s="284">
        <v>358746</v>
      </c>
      <c r="Q63" s="284">
        <v>410112</v>
      </c>
      <c r="R63" s="147">
        <f t="shared" si="37"/>
        <v>51366</v>
      </c>
      <c r="S63" s="294">
        <f aca="true" t="shared" si="42" ref="S63:S74">_xlfn.IFERROR(R63/P63*100,"")</f>
        <v>14.318208426017293</v>
      </c>
      <c r="T63" s="361"/>
      <c r="U63" s="302"/>
      <c r="V63" s="302"/>
      <c r="W63" s="348"/>
      <c r="X63" s="257"/>
    </row>
    <row r="64" spans="1:24" ht="23.25" customHeight="1">
      <c r="A64" s="130"/>
      <c r="B64" s="127"/>
      <c r="C64" s="75" t="s">
        <v>188</v>
      </c>
      <c r="D64" s="300">
        <v>0</v>
      </c>
      <c r="E64" s="300">
        <v>0</v>
      </c>
      <c r="F64" s="147">
        <f t="shared" si="38"/>
        <v>0</v>
      </c>
      <c r="G64" s="275">
        <f t="shared" si="39"/>
      </c>
      <c r="H64" s="284">
        <v>1688322</v>
      </c>
      <c r="I64" s="284">
        <v>1741511</v>
      </c>
      <c r="J64" s="147">
        <f t="shared" si="35"/>
        <v>53189</v>
      </c>
      <c r="K64" s="275">
        <f t="shared" si="40"/>
        <v>3.150406142904019</v>
      </c>
      <c r="L64" s="284">
        <v>372213</v>
      </c>
      <c r="M64" s="284">
        <v>136523</v>
      </c>
      <c r="N64" s="147">
        <f t="shared" si="36"/>
        <v>-235690</v>
      </c>
      <c r="O64" s="275">
        <f t="shared" si="41"/>
        <v>-63.3212703478922</v>
      </c>
      <c r="P64" s="284">
        <v>144164</v>
      </c>
      <c r="Q64" s="284">
        <v>260848</v>
      </c>
      <c r="R64" s="147">
        <f t="shared" si="37"/>
        <v>116684</v>
      </c>
      <c r="S64" s="294">
        <f t="shared" si="42"/>
        <v>80.93837573874198</v>
      </c>
      <c r="T64" s="361"/>
      <c r="U64" s="302"/>
      <c r="V64" s="302"/>
      <c r="W64" s="348"/>
      <c r="X64" s="257"/>
    </row>
    <row r="65" spans="1:23" ht="23.25" customHeight="1">
      <c r="A65" s="130"/>
      <c r="B65" s="127"/>
      <c r="C65" s="75" t="s">
        <v>189</v>
      </c>
      <c r="D65" s="300">
        <v>1183</v>
      </c>
      <c r="E65" s="300">
        <v>150</v>
      </c>
      <c r="F65" s="147">
        <f t="shared" si="38"/>
        <v>-1033</v>
      </c>
      <c r="G65" s="275">
        <f t="shared" si="39"/>
        <v>-87.32037193575654</v>
      </c>
      <c r="H65" s="284">
        <v>1013601</v>
      </c>
      <c r="I65" s="284">
        <v>1050334</v>
      </c>
      <c r="J65" s="147">
        <f t="shared" si="35"/>
        <v>36733</v>
      </c>
      <c r="K65" s="275">
        <f t="shared" si="40"/>
        <v>3.6240098421370934</v>
      </c>
      <c r="L65" s="284">
        <v>36527</v>
      </c>
      <c r="M65" s="284">
        <v>139034</v>
      </c>
      <c r="N65" s="147">
        <f t="shared" si="36"/>
        <v>102507</v>
      </c>
      <c r="O65" s="275">
        <f t="shared" si="41"/>
        <v>280.6335039833548</v>
      </c>
      <c r="P65" s="284">
        <v>8011</v>
      </c>
      <c r="Q65" s="284">
        <v>18773</v>
      </c>
      <c r="R65" s="147">
        <f t="shared" si="37"/>
        <v>10762</v>
      </c>
      <c r="S65" s="294">
        <f t="shared" si="42"/>
        <v>134.34028211209588</v>
      </c>
      <c r="T65" s="361"/>
      <c r="U65" s="302"/>
      <c r="V65" s="302"/>
      <c r="W65" s="348"/>
    </row>
    <row r="66" spans="1:23" ht="23.25" customHeight="1">
      <c r="A66" s="130"/>
      <c r="B66" s="127"/>
      <c r="C66" s="75" t="s">
        <v>190</v>
      </c>
      <c r="D66" s="300">
        <v>0</v>
      </c>
      <c r="E66" s="300">
        <v>0</v>
      </c>
      <c r="F66" s="147">
        <f t="shared" si="38"/>
        <v>0</v>
      </c>
      <c r="G66" s="275">
        <f t="shared" si="39"/>
      </c>
      <c r="H66" s="284">
        <v>1719412</v>
      </c>
      <c r="I66" s="284">
        <v>1867900</v>
      </c>
      <c r="J66" s="147">
        <f t="shared" si="35"/>
        <v>148488</v>
      </c>
      <c r="K66" s="275">
        <f t="shared" si="40"/>
        <v>8.635975554433726</v>
      </c>
      <c r="L66" s="284">
        <v>827075</v>
      </c>
      <c r="M66" s="284">
        <v>531640</v>
      </c>
      <c r="N66" s="147">
        <f t="shared" si="36"/>
        <v>-295435</v>
      </c>
      <c r="O66" s="275">
        <f t="shared" si="41"/>
        <v>-35.72046065955325</v>
      </c>
      <c r="P66" s="284">
        <v>838651</v>
      </c>
      <c r="Q66" s="284">
        <v>845214</v>
      </c>
      <c r="R66" s="147">
        <f t="shared" si="37"/>
        <v>6563</v>
      </c>
      <c r="S66" s="294">
        <f t="shared" si="42"/>
        <v>0.7825662880029952</v>
      </c>
      <c r="T66" s="361"/>
      <c r="U66" s="302"/>
      <c r="V66" s="302"/>
      <c r="W66" s="348"/>
    </row>
    <row r="67" spans="1:23" ht="23.25" customHeight="1">
      <c r="A67" s="130"/>
      <c r="B67" s="127"/>
      <c r="C67" s="75" t="s">
        <v>191</v>
      </c>
      <c r="D67" s="300">
        <v>0</v>
      </c>
      <c r="E67" s="300">
        <v>0</v>
      </c>
      <c r="F67" s="147">
        <f t="shared" si="38"/>
        <v>0</v>
      </c>
      <c r="G67" s="275">
        <f t="shared" si="39"/>
      </c>
      <c r="H67" s="284">
        <v>241253</v>
      </c>
      <c r="I67" s="284">
        <v>241090</v>
      </c>
      <c r="J67" s="147">
        <f t="shared" si="35"/>
        <v>-163</v>
      </c>
      <c r="K67" s="275">
        <f t="shared" si="40"/>
        <v>-0.0675639266661969</v>
      </c>
      <c r="L67" s="284">
        <v>3267</v>
      </c>
      <c r="M67" s="284">
        <v>9854</v>
      </c>
      <c r="N67" s="147">
        <f t="shared" si="36"/>
        <v>6587</v>
      </c>
      <c r="O67" s="275">
        <f t="shared" si="41"/>
        <v>201.62228344046525</v>
      </c>
      <c r="P67" s="284">
        <v>8458</v>
      </c>
      <c r="Q67" s="284">
        <v>4393</v>
      </c>
      <c r="R67" s="147">
        <f t="shared" si="37"/>
        <v>-4065</v>
      </c>
      <c r="S67" s="294">
        <f t="shared" si="42"/>
        <v>-48.06100733033814</v>
      </c>
      <c r="T67" s="361"/>
      <c r="U67" s="302"/>
      <c r="V67" s="302"/>
      <c r="W67" s="348"/>
    </row>
    <row r="68" spans="1:23" ht="23.25" customHeight="1">
      <c r="A68" s="130"/>
      <c r="B68" s="127"/>
      <c r="C68" s="75" t="s">
        <v>192</v>
      </c>
      <c r="D68" s="300">
        <v>0</v>
      </c>
      <c r="E68" s="300">
        <v>0</v>
      </c>
      <c r="F68" s="147">
        <f t="shared" si="38"/>
        <v>0</v>
      </c>
      <c r="G68" s="275">
        <f t="shared" si="39"/>
      </c>
      <c r="H68" s="284">
        <v>0</v>
      </c>
      <c r="I68" s="284">
        <v>0</v>
      </c>
      <c r="J68" s="147">
        <f t="shared" si="35"/>
        <v>0</v>
      </c>
      <c r="K68" s="275">
        <f t="shared" si="40"/>
      </c>
      <c r="L68" s="284">
        <v>0</v>
      </c>
      <c r="M68" s="284">
        <v>0</v>
      </c>
      <c r="N68" s="147">
        <f t="shared" si="36"/>
        <v>0</v>
      </c>
      <c r="O68" s="275">
        <f t="shared" si="41"/>
      </c>
      <c r="P68" s="284">
        <v>0</v>
      </c>
      <c r="Q68" s="284">
        <v>0</v>
      </c>
      <c r="R68" s="147">
        <f t="shared" si="37"/>
        <v>0</v>
      </c>
      <c r="S68" s="294">
        <f t="shared" si="42"/>
      </c>
      <c r="T68" s="361"/>
      <c r="U68" s="302"/>
      <c r="V68" s="302"/>
      <c r="W68" s="348"/>
    </row>
    <row r="69" spans="1:23" ht="23.25" customHeight="1">
      <c r="A69" s="130"/>
      <c r="B69" s="127"/>
      <c r="C69" s="75" t="s">
        <v>193</v>
      </c>
      <c r="D69" s="300">
        <v>7248</v>
      </c>
      <c r="E69" s="300">
        <v>120</v>
      </c>
      <c r="F69" s="147">
        <f t="shared" si="38"/>
        <v>-7128</v>
      </c>
      <c r="G69" s="275">
        <f t="shared" si="39"/>
        <v>-98.34437086092716</v>
      </c>
      <c r="H69" s="284">
        <v>665413</v>
      </c>
      <c r="I69" s="284">
        <v>683281</v>
      </c>
      <c r="J69" s="147">
        <f t="shared" si="35"/>
        <v>17868</v>
      </c>
      <c r="K69" s="275">
        <f t="shared" si="40"/>
        <v>2.685249611895169</v>
      </c>
      <c r="L69" s="284">
        <v>297586</v>
      </c>
      <c r="M69" s="284">
        <v>158286</v>
      </c>
      <c r="N69" s="147">
        <f t="shared" si="36"/>
        <v>-139300</v>
      </c>
      <c r="O69" s="275">
        <f t="shared" si="41"/>
        <v>-46.80999778215373</v>
      </c>
      <c r="P69" s="284">
        <v>61811</v>
      </c>
      <c r="Q69" s="284">
        <v>36290</v>
      </c>
      <c r="R69" s="147">
        <f t="shared" si="37"/>
        <v>-25521</v>
      </c>
      <c r="S69" s="294">
        <f t="shared" si="42"/>
        <v>-41.288767371503454</v>
      </c>
      <c r="T69" s="361"/>
      <c r="U69" s="302"/>
      <c r="V69" s="302"/>
      <c r="W69" s="348"/>
    </row>
    <row r="70" spans="1:23" ht="23.25" customHeight="1">
      <c r="A70" s="130"/>
      <c r="B70" s="127"/>
      <c r="C70" s="75" t="s">
        <v>194</v>
      </c>
      <c r="D70" s="300">
        <v>0</v>
      </c>
      <c r="E70" s="300">
        <v>0</v>
      </c>
      <c r="F70" s="147">
        <f t="shared" si="38"/>
        <v>0</v>
      </c>
      <c r="G70" s="275">
        <f t="shared" si="39"/>
      </c>
      <c r="H70" s="284">
        <v>555047</v>
      </c>
      <c r="I70" s="284">
        <v>683070</v>
      </c>
      <c r="J70" s="147">
        <f t="shared" si="35"/>
        <v>128023</v>
      </c>
      <c r="K70" s="275">
        <f t="shared" si="40"/>
        <v>23.06525393345068</v>
      </c>
      <c r="L70" s="284">
        <v>140698</v>
      </c>
      <c r="M70" s="284">
        <v>272784</v>
      </c>
      <c r="N70" s="147">
        <f t="shared" si="36"/>
        <v>132086</v>
      </c>
      <c r="O70" s="275">
        <f t="shared" si="41"/>
        <v>93.87908854425791</v>
      </c>
      <c r="P70" s="284">
        <v>15325</v>
      </c>
      <c r="Q70" s="284">
        <v>51425</v>
      </c>
      <c r="R70" s="147">
        <f t="shared" si="37"/>
        <v>36100</v>
      </c>
      <c r="S70" s="294">
        <f t="shared" si="42"/>
        <v>235.56280587275694</v>
      </c>
      <c r="T70" s="361"/>
      <c r="U70" s="302"/>
      <c r="V70" s="302"/>
      <c r="W70" s="348"/>
    </row>
    <row r="71" spans="1:23" ht="23.25" customHeight="1">
      <c r="A71" s="130"/>
      <c r="B71" s="127"/>
      <c r="C71" s="363" t="s">
        <v>195</v>
      </c>
      <c r="D71" s="300">
        <v>0</v>
      </c>
      <c r="E71" s="300">
        <v>0</v>
      </c>
      <c r="F71" s="147">
        <f t="shared" si="38"/>
        <v>0</v>
      </c>
      <c r="G71" s="275">
        <f t="shared" si="39"/>
      </c>
      <c r="H71" s="284">
        <v>1092658</v>
      </c>
      <c r="I71" s="284">
        <v>1171391</v>
      </c>
      <c r="J71" s="147">
        <f t="shared" si="35"/>
        <v>78733</v>
      </c>
      <c r="K71" s="275">
        <f t="shared" si="40"/>
        <v>7.205639825087082</v>
      </c>
      <c r="L71" s="284">
        <v>63638</v>
      </c>
      <c r="M71" s="284">
        <v>47571</v>
      </c>
      <c r="N71" s="147">
        <f t="shared" si="36"/>
        <v>-16067</v>
      </c>
      <c r="O71" s="275">
        <f t="shared" si="41"/>
        <v>-25.247493635877934</v>
      </c>
      <c r="P71" s="284">
        <v>43</v>
      </c>
      <c r="Q71" s="284">
        <v>0</v>
      </c>
      <c r="R71" s="147">
        <f t="shared" si="37"/>
        <v>-43</v>
      </c>
      <c r="S71" s="294">
        <f t="shared" si="42"/>
        <v>-100</v>
      </c>
      <c r="T71" s="361"/>
      <c r="U71" s="302"/>
      <c r="V71" s="302"/>
      <c r="W71" s="348"/>
    </row>
    <row r="72" spans="1:23" ht="23.25" customHeight="1">
      <c r="A72" s="130"/>
      <c r="B72" s="127"/>
      <c r="C72" s="75" t="s">
        <v>196</v>
      </c>
      <c r="D72" s="300">
        <v>0</v>
      </c>
      <c r="E72" s="300">
        <v>0</v>
      </c>
      <c r="F72" s="147">
        <f t="shared" si="38"/>
        <v>0</v>
      </c>
      <c r="G72" s="275">
        <f t="shared" si="39"/>
      </c>
      <c r="H72" s="284">
        <v>584277</v>
      </c>
      <c r="I72" s="284">
        <v>767089</v>
      </c>
      <c r="J72" s="147">
        <f t="shared" si="35"/>
        <v>182812</v>
      </c>
      <c r="K72" s="275">
        <f t="shared" si="40"/>
        <v>31.288584010666177</v>
      </c>
      <c r="L72" s="284">
        <v>96085</v>
      </c>
      <c r="M72" s="284">
        <v>175447</v>
      </c>
      <c r="N72" s="147">
        <f t="shared" si="36"/>
        <v>79362</v>
      </c>
      <c r="O72" s="275">
        <f t="shared" si="41"/>
        <v>82.59561846281937</v>
      </c>
      <c r="P72" s="284">
        <v>23031</v>
      </c>
      <c r="Q72" s="284">
        <v>15018</v>
      </c>
      <c r="R72" s="147">
        <f t="shared" si="37"/>
        <v>-8013</v>
      </c>
      <c r="S72" s="294">
        <f t="shared" si="42"/>
        <v>-34.792236550735964</v>
      </c>
      <c r="T72" s="361"/>
      <c r="U72" s="302"/>
      <c r="V72" s="302"/>
      <c r="W72" s="348"/>
    </row>
    <row r="73" spans="1:23" ht="23.25" customHeight="1">
      <c r="A73" s="130"/>
      <c r="B73" s="127"/>
      <c r="C73" s="75"/>
      <c r="D73" s="272"/>
      <c r="E73" s="276"/>
      <c r="F73" s="244"/>
      <c r="G73" s="277"/>
      <c r="H73" s="272"/>
      <c r="I73" s="273"/>
      <c r="J73" s="147"/>
      <c r="K73" s="275"/>
      <c r="L73" s="272"/>
      <c r="M73" s="273"/>
      <c r="N73" s="147"/>
      <c r="O73" s="275"/>
      <c r="P73" s="272"/>
      <c r="Q73" s="273"/>
      <c r="R73" s="147"/>
      <c r="S73" s="294"/>
      <c r="T73" s="360"/>
      <c r="U73" s="276"/>
      <c r="V73" s="244"/>
      <c r="W73" s="350"/>
    </row>
    <row r="74" spans="1:23" ht="23.25" customHeight="1">
      <c r="A74" s="130"/>
      <c r="B74" s="126" t="s">
        <v>273</v>
      </c>
      <c r="C74" s="74" t="s">
        <v>135</v>
      </c>
      <c r="D74" s="296"/>
      <c r="E74" s="302"/>
      <c r="F74" s="304"/>
      <c r="G74" s="305"/>
      <c r="H74" s="268">
        <v>7548778</v>
      </c>
      <c r="I74" s="268">
        <v>7215086</v>
      </c>
      <c r="J74" s="242">
        <f>I74-H74</f>
        <v>-333692</v>
      </c>
      <c r="K74" s="269">
        <f>_xlfn.IFERROR(J74/H74*100,"")</f>
        <v>-4.420477062645106</v>
      </c>
      <c r="L74" s="268">
        <v>144246</v>
      </c>
      <c r="M74" s="268">
        <v>94811</v>
      </c>
      <c r="N74" s="242">
        <f>M74-L74</f>
        <v>-49435</v>
      </c>
      <c r="O74" s="269">
        <f t="shared" si="41"/>
        <v>-34.2713142825451</v>
      </c>
      <c r="P74" s="268">
        <v>18419</v>
      </c>
      <c r="Q74" s="268">
        <v>2082</v>
      </c>
      <c r="R74" s="242">
        <f>Q74-P74</f>
        <v>-16337</v>
      </c>
      <c r="S74" s="250">
        <f t="shared" si="42"/>
        <v>-88.69645474781476</v>
      </c>
      <c r="T74" s="301">
        <v>77493</v>
      </c>
      <c r="U74" s="301">
        <v>84682</v>
      </c>
      <c r="V74" s="242">
        <f>U74-T74</f>
        <v>7189</v>
      </c>
      <c r="W74" s="271">
        <f>_xlfn.IFERROR(V74/T74*100,"")</f>
        <v>9.276966951853716</v>
      </c>
    </row>
    <row r="75" spans="1:23" ht="23.25" customHeight="1" thickBot="1">
      <c r="A75" s="132"/>
      <c r="B75" s="82"/>
      <c r="C75" s="77"/>
      <c r="D75" s="288"/>
      <c r="E75" s="306"/>
      <c r="F75" s="148"/>
      <c r="G75" s="290"/>
      <c r="H75" s="288"/>
      <c r="I75" s="289"/>
      <c r="J75" s="148"/>
      <c r="K75" s="290"/>
      <c r="L75" s="288"/>
      <c r="M75" s="289"/>
      <c r="N75" s="148"/>
      <c r="O75" s="290"/>
      <c r="P75" s="288"/>
      <c r="Q75" s="289"/>
      <c r="R75" s="148"/>
      <c r="S75" s="307"/>
      <c r="T75" s="362"/>
      <c r="U75" s="306"/>
      <c r="V75" s="148"/>
      <c r="W75" s="291"/>
    </row>
    <row r="76" spans="1:3" ht="13.5" customHeight="1">
      <c r="A76" s="78"/>
      <c r="B76" s="78"/>
      <c r="C76" s="78"/>
    </row>
  </sheetData>
  <sheetProtection/>
  <mergeCells count="8">
    <mergeCell ref="T42:T43"/>
    <mergeCell ref="U42:U43"/>
    <mergeCell ref="V42:V43"/>
    <mergeCell ref="W42:W43"/>
    <mergeCell ref="A4:C6"/>
    <mergeCell ref="E4:E5"/>
    <mergeCell ref="F4:F5"/>
    <mergeCell ref="A41:C43"/>
  </mergeCells>
  <printOptions/>
  <pageMargins left="0.75" right="0.61" top="1" bottom="1" header="0.512" footer="0.512"/>
  <pageSetup fitToHeight="1" fitToWidth="1" horizontalDpi="300" verticalDpi="300" orientation="landscape" paperSize="8" scale="44" r:id="rId1"/>
</worksheet>
</file>

<file path=xl/worksheets/sheet24.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D5" sqref="D5"/>
    </sheetView>
  </sheetViews>
  <sheetFormatPr defaultColWidth="9.00390625" defaultRowHeight="13.5"/>
  <cols>
    <col min="1" max="1" width="10.625" style="93" customWidth="1"/>
    <col min="2" max="2" width="10.875" style="93" customWidth="1"/>
    <col min="3" max="5" width="13.00390625" style="93" customWidth="1"/>
    <col min="6" max="6" width="12.625" style="93" customWidth="1"/>
    <col min="7" max="7" width="10.875" style="93" customWidth="1"/>
    <col min="8" max="9" width="12.25390625" style="93" customWidth="1"/>
    <col min="10" max="16384" width="9.00390625" style="93" customWidth="1"/>
  </cols>
  <sheetData>
    <row r="1" spans="1:9" ht="26.25" customHeight="1">
      <c r="A1" s="1210" t="s">
        <v>313</v>
      </c>
      <c r="B1" s="1210"/>
      <c r="C1" s="1210"/>
      <c r="D1" s="1210"/>
      <c r="E1" s="1210"/>
      <c r="F1" s="1210"/>
      <c r="G1" s="419"/>
      <c r="I1" s="22"/>
    </row>
    <row r="2" spans="1:9" ht="17.25" customHeight="1" thickBot="1">
      <c r="A2" s="94"/>
      <c r="I2" s="22" t="s">
        <v>285</v>
      </c>
    </row>
    <row r="3" spans="1:9" ht="17.25" customHeight="1">
      <c r="A3" s="1211" t="s">
        <v>286</v>
      </c>
      <c r="B3" s="95" t="s">
        <v>177</v>
      </c>
      <c r="C3" s="1213" t="s">
        <v>287</v>
      </c>
      <c r="D3" s="1214"/>
      <c r="E3" s="1213" t="s">
        <v>288</v>
      </c>
      <c r="F3" s="1214"/>
      <c r="G3" s="95" t="s">
        <v>321</v>
      </c>
      <c r="H3" s="96" t="s">
        <v>212</v>
      </c>
      <c r="I3" s="97" t="s">
        <v>212</v>
      </c>
    </row>
    <row r="4" spans="1:9" ht="17.25" customHeight="1">
      <c r="A4" s="1212"/>
      <c r="B4" s="465" t="s">
        <v>213</v>
      </c>
      <c r="C4" s="466" t="s">
        <v>214</v>
      </c>
      <c r="D4" s="466" t="s">
        <v>215</v>
      </c>
      <c r="E4" s="466" t="s">
        <v>216</v>
      </c>
      <c r="F4" s="466" t="s">
        <v>215</v>
      </c>
      <c r="G4" s="465" t="s">
        <v>213</v>
      </c>
      <c r="H4" s="467" t="s">
        <v>163</v>
      </c>
      <c r="I4" s="468" t="s">
        <v>164</v>
      </c>
    </row>
    <row r="5" spans="1:10" ht="17.25" customHeight="1">
      <c r="A5" s="470" t="s">
        <v>334</v>
      </c>
      <c r="B5" s="255">
        <v>1331566.3265306123</v>
      </c>
      <c r="C5" s="255">
        <v>274757.6440050387</v>
      </c>
      <c r="D5" s="255">
        <v>6934321.772639692</v>
      </c>
      <c r="E5" s="255">
        <v>283107.1488224487</v>
      </c>
      <c r="F5" s="255">
        <v>7976294.117647058</v>
      </c>
      <c r="G5" s="469"/>
      <c r="H5" s="255">
        <v>3986.800353877912</v>
      </c>
      <c r="I5" s="471">
        <v>2993.3628231593434</v>
      </c>
      <c r="J5" s="417"/>
    </row>
    <row r="6" spans="1:9" ht="17.25" customHeight="1">
      <c r="A6" s="470" t="s">
        <v>335</v>
      </c>
      <c r="B6" s="469" t="s">
        <v>560</v>
      </c>
      <c r="C6" s="255">
        <v>326999.1606043649</v>
      </c>
      <c r="D6" s="255">
        <v>6834473.684210527</v>
      </c>
      <c r="E6" s="255">
        <v>235051.3648371001</v>
      </c>
      <c r="F6" s="255">
        <v>6113129.770992367</v>
      </c>
      <c r="G6" s="255">
        <v>1483490.9090909092</v>
      </c>
      <c r="H6" s="255">
        <v>14458.435504297917</v>
      </c>
      <c r="I6" s="471">
        <v>8124.673277464903</v>
      </c>
    </row>
    <row r="7" spans="1:9" ht="17.25" customHeight="1">
      <c r="A7" s="472" t="s">
        <v>336</v>
      </c>
      <c r="B7" s="255">
        <v>1403346.1538461538</v>
      </c>
      <c r="C7" s="255">
        <v>570218.669250646</v>
      </c>
      <c r="D7" s="255">
        <v>8569888.349514564</v>
      </c>
      <c r="E7" s="255">
        <v>608886.2973760932</v>
      </c>
      <c r="F7" s="255">
        <v>14656000</v>
      </c>
      <c r="G7" s="255">
        <v>1205385.3211009174</v>
      </c>
      <c r="H7" s="255">
        <v>20741.8928726956</v>
      </c>
      <c r="I7" s="471">
        <v>5815.4739439686455</v>
      </c>
    </row>
    <row r="8" spans="1:9" ht="17.25" customHeight="1">
      <c r="A8" s="470" t="s">
        <v>337</v>
      </c>
      <c r="B8" s="255">
        <v>1396032.2580645161</v>
      </c>
      <c r="C8" s="255">
        <v>677210.9436954798</v>
      </c>
      <c r="D8" s="255">
        <v>8803742.268041236</v>
      </c>
      <c r="E8" s="255">
        <v>563451.5688949523</v>
      </c>
      <c r="F8" s="255">
        <v>13322903.22580645</v>
      </c>
      <c r="G8" s="469"/>
      <c r="H8" s="255">
        <v>22537.778205374896</v>
      </c>
      <c r="I8" s="471">
        <v>8556.539028926945</v>
      </c>
    </row>
    <row r="9" spans="1:9" ht="17.25" customHeight="1">
      <c r="A9" s="470" t="s">
        <v>338</v>
      </c>
      <c r="B9" s="255">
        <v>1635735.294117647</v>
      </c>
      <c r="C9" s="255">
        <v>247129.0855067679</v>
      </c>
      <c r="D9" s="255">
        <v>5628225.563909775</v>
      </c>
      <c r="E9" s="255">
        <v>285945.7714654616</v>
      </c>
      <c r="F9" s="255">
        <v>7261147.540983607</v>
      </c>
      <c r="G9" s="469"/>
      <c r="H9" s="255">
        <v>13768.36247040425</v>
      </c>
      <c r="I9" s="471">
        <v>5344.5600608078</v>
      </c>
    </row>
    <row r="10" spans="1:9" ht="17.25" customHeight="1">
      <c r="A10" s="470" t="s">
        <v>339</v>
      </c>
      <c r="B10" s="255">
        <v>1140053.7634408602</v>
      </c>
      <c r="C10" s="255">
        <v>440836.832412523</v>
      </c>
      <c r="D10" s="255">
        <v>7696926.045016077</v>
      </c>
      <c r="E10" s="255">
        <v>243285.7142857143</v>
      </c>
      <c r="F10" s="255">
        <v>5784327.586206897</v>
      </c>
      <c r="G10" s="255">
        <v>916407.2164948453</v>
      </c>
      <c r="H10" s="255">
        <v>11894.541866965867</v>
      </c>
      <c r="I10" s="471">
        <v>3361.3994022459306</v>
      </c>
    </row>
    <row r="11" spans="1:9" ht="17.25" customHeight="1">
      <c r="A11" s="470" t="s">
        <v>340</v>
      </c>
      <c r="B11" s="255">
        <v>644100</v>
      </c>
      <c r="C11" s="255">
        <v>786282.9457364342</v>
      </c>
      <c r="D11" s="255">
        <v>14490071.42857143</v>
      </c>
      <c r="E11" s="255">
        <v>430024.48579823703</v>
      </c>
      <c r="F11" s="255">
        <v>10210581.395348838</v>
      </c>
      <c r="G11" s="469"/>
      <c r="H11" s="255">
        <v>17423.591008633928</v>
      </c>
      <c r="I11" s="471">
        <v>15157.298562690361</v>
      </c>
    </row>
    <row r="12" spans="1:9" ht="17.25" customHeight="1">
      <c r="A12" s="470" t="s">
        <v>341</v>
      </c>
      <c r="B12" s="255">
        <v>1518754.716981132</v>
      </c>
      <c r="C12" s="255">
        <v>371574.3207245605</v>
      </c>
      <c r="D12" s="255">
        <v>7419627.659574469</v>
      </c>
      <c r="E12" s="255">
        <v>447504.8543689321</v>
      </c>
      <c r="F12" s="255">
        <v>10916763.157894736</v>
      </c>
      <c r="G12" s="255">
        <v>2415210.5263157897</v>
      </c>
      <c r="H12" s="255">
        <v>6466.305569160737</v>
      </c>
      <c r="I12" s="471">
        <v>5788.786770002017</v>
      </c>
    </row>
    <row r="13" spans="1:9" ht="17.25" customHeight="1">
      <c r="A13" s="472" t="s">
        <v>342</v>
      </c>
      <c r="B13" s="255">
        <v>1133664.3356643356</v>
      </c>
      <c r="C13" s="255">
        <v>397155.67988324014</v>
      </c>
      <c r="D13" s="255">
        <v>7593986.046511628</v>
      </c>
      <c r="E13" s="255">
        <v>392773.3089579524</v>
      </c>
      <c r="F13" s="255">
        <v>10230809.523809522</v>
      </c>
      <c r="G13" s="255">
        <v>1250810.2189781023</v>
      </c>
      <c r="H13" s="255">
        <v>14014.34748427673</v>
      </c>
      <c r="I13" s="471">
        <v>5369.423152515723</v>
      </c>
    </row>
    <row r="14" spans="1:9" ht="17.25" customHeight="1">
      <c r="A14" s="470" t="s">
        <v>343</v>
      </c>
      <c r="B14" s="255">
        <v>1863702.7027027027</v>
      </c>
      <c r="C14" s="255">
        <v>638565.18861681</v>
      </c>
      <c r="D14" s="255">
        <v>9648720</v>
      </c>
      <c r="E14" s="255">
        <v>436793.5174069628</v>
      </c>
      <c r="F14" s="255">
        <v>9574973.684210526</v>
      </c>
      <c r="G14" s="469"/>
      <c r="H14" s="255">
        <v>40823.541334877664</v>
      </c>
      <c r="I14" s="471">
        <v>6748.80555957724</v>
      </c>
    </row>
    <row r="15" spans="1:9" ht="17.25" customHeight="1">
      <c r="A15" s="470" t="s">
        <v>344</v>
      </c>
      <c r="B15" s="255">
        <v>975889.344262295</v>
      </c>
      <c r="C15" s="255">
        <v>621594.3080357143</v>
      </c>
      <c r="D15" s="255">
        <v>12657920.454545453</v>
      </c>
      <c r="E15" s="255">
        <v>509116.14401858306</v>
      </c>
      <c r="F15" s="255">
        <v>13698406.25</v>
      </c>
      <c r="G15" s="469"/>
      <c r="H15" s="255">
        <v>5586.879800705834</v>
      </c>
      <c r="I15" s="471">
        <v>2187.164506657967</v>
      </c>
    </row>
    <row r="16" spans="1:9" ht="17.25" customHeight="1">
      <c r="A16" s="470" t="s">
        <v>345</v>
      </c>
      <c r="B16" s="469" t="s">
        <v>560</v>
      </c>
      <c r="C16" s="255">
        <v>418136.12565445027</v>
      </c>
      <c r="D16" s="255">
        <v>3803047.6190476194</v>
      </c>
      <c r="E16" s="255">
        <v>683184.4660194175</v>
      </c>
      <c r="F16" s="255">
        <v>7818666.666666667</v>
      </c>
      <c r="G16" s="469"/>
      <c r="H16" s="255">
        <v>21575.848460931335</v>
      </c>
      <c r="I16" s="471">
        <v>25134.01736385162</v>
      </c>
    </row>
    <row r="17" spans="1:9" ht="17.25" customHeight="1">
      <c r="A17" s="477" t="s">
        <v>346</v>
      </c>
      <c r="B17" s="255">
        <v>3042420</v>
      </c>
      <c r="C17" s="255">
        <v>1119209.0163934426</v>
      </c>
      <c r="D17" s="255">
        <v>7380729.72972973</v>
      </c>
      <c r="E17" s="255">
        <v>757515.3846153846</v>
      </c>
      <c r="F17" s="255">
        <v>12309625</v>
      </c>
      <c r="G17" s="469"/>
      <c r="H17" s="255">
        <v>55778.75229876928</v>
      </c>
      <c r="I17" s="471">
        <v>33877.9176686943</v>
      </c>
    </row>
    <row r="18" spans="1:9" ht="17.25" customHeight="1">
      <c r="A18" s="470" t="s">
        <v>347</v>
      </c>
      <c r="B18" s="255">
        <v>1114464.7887323943</v>
      </c>
      <c r="C18" s="255">
        <v>184837.39837398374</v>
      </c>
      <c r="D18" s="255">
        <v>4482957.746478873</v>
      </c>
      <c r="E18" s="255">
        <v>1313805.7644110278</v>
      </c>
      <c r="F18" s="255">
        <v>34947233.33333333</v>
      </c>
      <c r="G18" s="469"/>
      <c r="H18" s="255">
        <v>6884.783863628646</v>
      </c>
      <c r="I18" s="471">
        <v>5278.787055587626</v>
      </c>
    </row>
    <row r="19" spans="1:9" ht="17.25" customHeight="1">
      <c r="A19" s="470" t="s">
        <v>348</v>
      </c>
      <c r="B19" s="255">
        <v>1339758.064516129</v>
      </c>
      <c r="C19" s="255">
        <v>513314.88549618324</v>
      </c>
      <c r="D19" s="255">
        <v>11694652.173913045</v>
      </c>
      <c r="E19" s="255">
        <v>331090.4522613066</v>
      </c>
      <c r="F19" s="255">
        <v>9883050</v>
      </c>
      <c r="G19" s="255">
        <v>1088917.6470588236</v>
      </c>
      <c r="H19" s="255">
        <v>10921.77223952925</v>
      </c>
      <c r="I19" s="471">
        <v>8427.236315086782</v>
      </c>
    </row>
    <row r="20" spans="1:9" ht="17.25" customHeight="1">
      <c r="A20" s="470" t="s">
        <v>349</v>
      </c>
      <c r="B20" s="255">
        <v>2018677.4193548388</v>
      </c>
      <c r="C20" s="255">
        <v>601349.582172702</v>
      </c>
      <c r="D20" s="255">
        <v>7710160.714285715</v>
      </c>
      <c r="E20" s="255">
        <v>631047.3537604457</v>
      </c>
      <c r="F20" s="255">
        <v>10297545.454545453</v>
      </c>
      <c r="G20" s="255">
        <v>1351195.652173913</v>
      </c>
      <c r="H20" s="255">
        <v>48758.12057211603</v>
      </c>
      <c r="I20" s="471">
        <v>9682.59590963775</v>
      </c>
    </row>
    <row r="21" spans="1:9" ht="17.25" customHeight="1">
      <c r="A21" s="470" t="s">
        <v>350</v>
      </c>
      <c r="B21" s="469" t="s">
        <v>560</v>
      </c>
      <c r="C21" s="255">
        <v>411391.9413919414</v>
      </c>
      <c r="D21" s="255">
        <v>4159629.6296296297</v>
      </c>
      <c r="E21" s="255">
        <v>681609.2715231788</v>
      </c>
      <c r="F21" s="255">
        <v>9356636.363636363</v>
      </c>
      <c r="G21" s="469"/>
      <c r="H21" s="255">
        <v>51643.26119035907</v>
      </c>
      <c r="I21" s="471">
        <v>22904.205607476637</v>
      </c>
    </row>
    <row r="22" spans="1:9" ht="17.25" customHeight="1">
      <c r="A22" s="470" t="s">
        <v>351</v>
      </c>
      <c r="B22" s="469" t="s">
        <v>560</v>
      </c>
      <c r="C22" s="255">
        <v>676178.8617886178</v>
      </c>
      <c r="D22" s="255">
        <v>6930833.333333333</v>
      </c>
      <c r="E22" s="255">
        <v>1635213.1147540982</v>
      </c>
      <c r="F22" s="255">
        <v>24937000</v>
      </c>
      <c r="G22" s="469"/>
      <c r="H22" s="255">
        <v>19869.64980544747</v>
      </c>
      <c r="I22" s="471">
        <v>16646.192329071706</v>
      </c>
    </row>
    <row r="23" spans="1:9" ht="17.25" customHeight="1">
      <c r="A23" s="470" t="s">
        <v>352</v>
      </c>
      <c r="B23" s="469" t="s">
        <v>560</v>
      </c>
      <c r="C23" s="255">
        <v>556520.325203252</v>
      </c>
      <c r="D23" s="255">
        <v>5404105.263157895</v>
      </c>
      <c r="E23" s="255">
        <v>1184659.4594594594</v>
      </c>
      <c r="F23" s="255">
        <v>18263500</v>
      </c>
      <c r="G23" s="469"/>
      <c r="H23" s="255">
        <v>29276.109936575052</v>
      </c>
      <c r="I23" s="471">
        <v>10130.232558139534</v>
      </c>
    </row>
    <row r="24" spans="1:9" ht="17.25" customHeight="1">
      <c r="A24" s="470" t="s">
        <v>353</v>
      </c>
      <c r="B24" s="255">
        <v>2392684.210526316</v>
      </c>
      <c r="C24" s="255">
        <v>687014.598540146</v>
      </c>
      <c r="D24" s="255">
        <v>7976355.93220339</v>
      </c>
      <c r="E24" s="255">
        <v>640679.6875</v>
      </c>
      <c r="F24" s="255">
        <v>10696565.217391305</v>
      </c>
      <c r="G24" s="469"/>
      <c r="H24" s="255">
        <v>17398.909109980592</v>
      </c>
      <c r="I24" s="471">
        <v>10325.378926941836</v>
      </c>
    </row>
    <row r="25" spans="1:9" ht="17.25" customHeight="1" thickBot="1">
      <c r="A25" s="473" t="s">
        <v>354</v>
      </c>
      <c r="B25" s="474"/>
      <c r="C25" s="475">
        <v>2063555.5555555557</v>
      </c>
      <c r="D25" s="475">
        <v>9286000</v>
      </c>
      <c r="E25" s="475">
        <v>1543600</v>
      </c>
      <c r="F25" s="475">
        <v>5145333.333333333</v>
      </c>
      <c r="G25" s="474"/>
      <c r="H25" s="474"/>
      <c r="I25" s="476"/>
    </row>
    <row r="26" spans="1:9" ht="17.25" customHeight="1">
      <c r="A26" s="1207" t="s">
        <v>217</v>
      </c>
      <c r="B26" s="1208"/>
      <c r="C26" s="1208"/>
      <c r="D26" s="1208"/>
      <c r="E26" s="1208"/>
      <c r="F26" s="1208"/>
      <c r="G26" s="1208"/>
      <c r="H26" s="1208"/>
      <c r="I26" s="1208"/>
    </row>
    <row r="27" spans="1:9" ht="17.25" customHeight="1">
      <c r="A27" s="1209"/>
      <c r="B27" s="1209"/>
      <c r="C27" s="1209"/>
      <c r="D27" s="1209"/>
      <c r="E27" s="1209"/>
      <c r="F27" s="1209"/>
      <c r="G27" s="1209"/>
      <c r="H27" s="1209"/>
      <c r="I27" s="1209"/>
    </row>
    <row r="28" ht="17.25" customHeight="1"/>
    <row r="29" spans="1:9" ht="17.25" customHeight="1">
      <c r="A29" s="93" t="s">
        <v>289</v>
      </c>
      <c r="B29" s="98" t="s">
        <v>290</v>
      </c>
      <c r="C29" s="98" t="s">
        <v>275</v>
      </c>
      <c r="D29" s="98" t="s">
        <v>289</v>
      </c>
      <c r="E29" s="98" t="s">
        <v>289</v>
      </c>
      <c r="F29" s="98" t="s">
        <v>289</v>
      </c>
      <c r="G29" s="98" t="s">
        <v>290</v>
      </c>
      <c r="H29" s="98" t="s">
        <v>289</v>
      </c>
      <c r="I29" s="98" t="s">
        <v>289</v>
      </c>
    </row>
    <row r="30" ht="17.25" customHeight="1">
      <c r="D30" s="93" t="s">
        <v>289</v>
      </c>
    </row>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9.5" customHeight="1"/>
  </sheetData>
  <sheetProtection/>
  <mergeCells count="5">
    <mergeCell ref="A26:I27"/>
    <mergeCell ref="A1:F1"/>
    <mergeCell ref="A3:A4"/>
    <mergeCell ref="C3:D3"/>
    <mergeCell ref="E3:F3"/>
  </mergeCells>
  <printOptions/>
  <pageMargins left="1.25" right="0.75" top="1" bottom="1" header="0.512" footer="0.512"/>
  <pageSetup fitToHeight="1" fitToWidth="1" horizontalDpi="300" verticalDpi="300" orientation="landscape" paperSize="9" r:id="rId1"/>
</worksheet>
</file>

<file path=xl/worksheets/sheet25.xml><?xml version="1.0" encoding="utf-8"?>
<worksheet xmlns="http://schemas.openxmlformats.org/spreadsheetml/2006/main" xmlns:r="http://schemas.openxmlformats.org/officeDocument/2006/relationships">
  <sheetPr>
    <pageSetUpPr fitToPage="1"/>
  </sheetPr>
  <dimension ref="A1:N28"/>
  <sheetViews>
    <sheetView zoomScalePageLayoutView="0" workbookViewId="0" topLeftCell="A1">
      <selection activeCell="J16" sqref="J16"/>
    </sheetView>
  </sheetViews>
  <sheetFormatPr defaultColWidth="9.00390625" defaultRowHeight="13.5"/>
  <cols>
    <col min="1" max="1" width="3.875" style="100" customWidth="1"/>
    <col min="2" max="2" width="2.00390625" style="100" customWidth="1"/>
    <col min="3" max="3" width="26.00390625" style="100" customWidth="1"/>
    <col min="4" max="4" width="12.75390625" style="100" bestFit="1" customWidth="1"/>
    <col min="5" max="5" width="11.625" style="100" bestFit="1" customWidth="1"/>
    <col min="6" max="8" width="11.50390625" style="100" customWidth="1"/>
    <col min="9" max="9" width="11.125" style="100" bestFit="1" customWidth="1"/>
    <col min="10" max="10" width="9.875" style="100" customWidth="1"/>
    <col min="11" max="11" width="12.00390625" style="100" customWidth="1"/>
    <col min="12" max="14" width="11.625" style="100" bestFit="1" customWidth="1"/>
    <col min="15" max="16384" width="9.00390625" style="100" customWidth="1"/>
  </cols>
  <sheetData>
    <row r="1" spans="1:13" ht="21" customHeight="1">
      <c r="A1" s="1224" t="s">
        <v>314</v>
      </c>
      <c r="B1" s="1224"/>
      <c r="C1" s="1224"/>
      <c r="D1" s="1224"/>
      <c r="E1" s="1224"/>
      <c r="F1" s="1224"/>
      <c r="G1" s="1224"/>
      <c r="H1" s="99"/>
      <c r="I1" s="99"/>
      <c r="J1" s="99"/>
      <c r="K1" s="99"/>
      <c r="L1" s="99"/>
      <c r="M1" s="99"/>
    </row>
    <row r="2" spans="1:13" ht="21" customHeight="1" thickBot="1">
      <c r="A2" s="99"/>
      <c r="B2" s="99"/>
      <c r="C2" s="99"/>
      <c r="D2" s="247"/>
      <c r="E2" s="247"/>
      <c r="F2" s="99"/>
      <c r="G2" s="99"/>
      <c r="H2" s="99"/>
      <c r="I2" s="99"/>
      <c r="J2" s="99"/>
      <c r="K2" s="99"/>
      <c r="L2" s="99"/>
      <c r="M2" s="249" t="s">
        <v>218</v>
      </c>
    </row>
    <row r="3" spans="1:13" ht="21.75" customHeight="1">
      <c r="A3" s="1113" t="s">
        <v>219</v>
      </c>
      <c r="B3" s="1114"/>
      <c r="C3" s="1115"/>
      <c r="D3" s="1145" t="s">
        <v>220</v>
      </c>
      <c r="E3" s="1050" t="s">
        <v>133</v>
      </c>
      <c r="F3" s="1051"/>
      <c r="G3" s="1051"/>
      <c r="H3" s="1051"/>
      <c r="I3" s="1055" t="s">
        <v>107</v>
      </c>
      <c r="J3" s="1083" t="s">
        <v>265</v>
      </c>
      <c r="K3" s="1221" t="s">
        <v>291</v>
      </c>
      <c r="L3" s="1222"/>
      <c r="M3" s="1223"/>
    </row>
    <row r="4" spans="1:13" ht="21.75" customHeight="1" thickBot="1">
      <c r="A4" s="1116"/>
      <c r="B4" s="1117"/>
      <c r="C4" s="1118"/>
      <c r="D4" s="1109"/>
      <c r="E4" s="53" t="s">
        <v>135</v>
      </c>
      <c r="F4" s="181" t="s">
        <v>292</v>
      </c>
      <c r="G4" s="181" t="s">
        <v>263</v>
      </c>
      <c r="H4" s="182" t="s">
        <v>293</v>
      </c>
      <c r="I4" s="1109"/>
      <c r="J4" s="1122"/>
      <c r="K4" s="54" t="s">
        <v>136</v>
      </c>
      <c r="L4" s="47" t="s">
        <v>137</v>
      </c>
      <c r="M4" s="48" t="s">
        <v>138</v>
      </c>
    </row>
    <row r="5" spans="1:14" ht="22.5" customHeight="1">
      <c r="A5" s="1103" t="s">
        <v>221</v>
      </c>
      <c r="B5" s="101" t="s">
        <v>222</v>
      </c>
      <c r="C5" s="101"/>
      <c r="D5" s="376">
        <f>E5+I5+J5</f>
        <v>3214421</v>
      </c>
      <c r="E5" s="376">
        <f>SUM(F5:H5)</f>
        <v>3209421</v>
      </c>
      <c r="F5" s="376">
        <f aca="true" t="shared" si="0" ref="F5:M5">SUM(F6:F13)</f>
        <v>677283</v>
      </c>
      <c r="G5" s="376">
        <f t="shared" si="0"/>
        <v>2532138</v>
      </c>
      <c r="H5" s="376">
        <f t="shared" si="0"/>
        <v>0</v>
      </c>
      <c r="I5" s="376">
        <f t="shared" si="0"/>
        <v>0</v>
      </c>
      <c r="J5" s="376">
        <f t="shared" si="0"/>
        <v>5000</v>
      </c>
      <c r="K5" s="376">
        <f t="shared" si="0"/>
        <v>2484469</v>
      </c>
      <c r="L5" s="376">
        <f t="shared" si="0"/>
        <v>729868</v>
      </c>
      <c r="M5" s="377">
        <f t="shared" si="0"/>
        <v>0</v>
      </c>
      <c r="N5" s="168"/>
    </row>
    <row r="6" spans="1:14" ht="22.5" customHeight="1">
      <c r="A6" s="1104"/>
      <c r="B6" s="1217"/>
      <c r="C6" s="102"/>
      <c r="D6" s="380"/>
      <c r="E6" s="380"/>
      <c r="F6" s="380"/>
      <c r="G6" s="380"/>
      <c r="H6" s="380"/>
      <c r="I6" s="380"/>
      <c r="J6" s="380"/>
      <c r="K6" s="380"/>
      <c r="L6" s="380"/>
      <c r="M6" s="381"/>
      <c r="N6" s="168"/>
    </row>
    <row r="7" spans="1:14" ht="22.5" customHeight="1">
      <c r="A7" s="1104"/>
      <c r="B7" s="1218"/>
      <c r="C7" s="102"/>
      <c r="D7" s="380"/>
      <c r="E7" s="380"/>
      <c r="F7" s="380"/>
      <c r="G7" s="380"/>
      <c r="H7" s="380"/>
      <c r="I7" s="380"/>
      <c r="J7" s="380"/>
      <c r="K7" s="380"/>
      <c r="L7" s="380"/>
      <c r="M7" s="381"/>
      <c r="N7" s="168"/>
    </row>
    <row r="8" spans="1:14" ht="22.5" customHeight="1">
      <c r="A8" s="1104"/>
      <c r="B8" s="1218"/>
      <c r="C8" s="102"/>
      <c r="D8" s="380"/>
      <c r="E8" s="380"/>
      <c r="F8" s="380"/>
      <c r="G8" s="380"/>
      <c r="H8" s="380"/>
      <c r="I8" s="380"/>
      <c r="J8" s="380"/>
      <c r="K8" s="380"/>
      <c r="L8" s="380"/>
      <c r="M8" s="381"/>
      <c r="N8" s="168"/>
    </row>
    <row r="9" spans="1:14" ht="22.5" customHeight="1">
      <c r="A9" s="1104"/>
      <c r="B9" s="1218"/>
      <c r="C9" s="103" t="s">
        <v>223</v>
      </c>
      <c r="D9" s="382">
        <f aca="true" t="shared" si="1" ref="D9:D24">E9+I9+J9</f>
        <v>1516527</v>
      </c>
      <c r="E9" s="382">
        <f aca="true" t="shared" si="2" ref="E9:E24">SUM(F9:H9)</f>
        <v>1516527</v>
      </c>
      <c r="F9" s="382">
        <v>395591</v>
      </c>
      <c r="G9" s="382">
        <v>1120936</v>
      </c>
      <c r="H9" s="382">
        <v>0</v>
      </c>
      <c r="I9" s="382">
        <v>0</v>
      </c>
      <c r="J9" s="382">
        <v>0</v>
      </c>
      <c r="K9" s="382">
        <v>1079495</v>
      </c>
      <c r="L9" s="382">
        <v>437032</v>
      </c>
      <c r="M9" s="383">
        <v>0</v>
      </c>
      <c r="N9" s="168"/>
    </row>
    <row r="10" spans="1:14" ht="22.5" customHeight="1">
      <c r="A10" s="1104"/>
      <c r="B10" s="1218"/>
      <c r="C10" s="103" t="s">
        <v>224</v>
      </c>
      <c r="D10" s="382">
        <f t="shared" si="1"/>
        <v>374728</v>
      </c>
      <c r="E10" s="382">
        <f t="shared" si="2"/>
        <v>369728</v>
      </c>
      <c r="F10" s="382">
        <v>123289</v>
      </c>
      <c r="G10" s="382">
        <v>246439</v>
      </c>
      <c r="H10" s="382">
        <v>0</v>
      </c>
      <c r="I10" s="382">
        <v>0</v>
      </c>
      <c r="J10" s="382">
        <v>5000</v>
      </c>
      <c r="K10" s="382">
        <v>240486</v>
      </c>
      <c r="L10" s="382">
        <v>134158</v>
      </c>
      <c r="M10" s="383">
        <v>0</v>
      </c>
      <c r="N10" s="168"/>
    </row>
    <row r="11" spans="1:14" ht="22.5" customHeight="1">
      <c r="A11" s="1104"/>
      <c r="B11" s="1218"/>
      <c r="C11" s="103" t="s">
        <v>332</v>
      </c>
      <c r="D11" s="382">
        <f t="shared" si="1"/>
        <v>70708</v>
      </c>
      <c r="E11" s="382">
        <f t="shared" si="2"/>
        <v>70708</v>
      </c>
      <c r="F11" s="382">
        <v>0</v>
      </c>
      <c r="G11" s="382">
        <v>70708</v>
      </c>
      <c r="H11" s="382">
        <v>0</v>
      </c>
      <c r="I11" s="382">
        <v>0</v>
      </c>
      <c r="J11" s="382">
        <v>0</v>
      </c>
      <c r="K11" s="382">
        <v>70538</v>
      </c>
      <c r="L11" s="382">
        <v>170</v>
      </c>
      <c r="M11" s="383">
        <v>0</v>
      </c>
      <c r="N11" s="168"/>
    </row>
    <row r="12" spans="1:14" ht="22.5" customHeight="1">
      <c r="A12" s="1104"/>
      <c r="B12" s="1218"/>
      <c r="C12" s="103" t="s">
        <v>226</v>
      </c>
      <c r="D12" s="382">
        <f t="shared" si="1"/>
        <v>267285</v>
      </c>
      <c r="E12" s="382">
        <f t="shared" si="2"/>
        <v>267285</v>
      </c>
      <c r="F12" s="382">
        <v>0</v>
      </c>
      <c r="G12" s="382">
        <v>267285</v>
      </c>
      <c r="H12" s="382">
        <v>0</v>
      </c>
      <c r="I12" s="382">
        <v>0</v>
      </c>
      <c r="J12" s="382">
        <v>0</v>
      </c>
      <c r="K12" s="382">
        <v>255880</v>
      </c>
      <c r="L12" s="382">
        <v>11405</v>
      </c>
      <c r="M12" s="383">
        <v>0</v>
      </c>
      <c r="N12" s="168"/>
    </row>
    <row r="13" spans="1:14" ht="22.5" customHeight="1" thickBot="1">
      <c r="A13" s="1105"/>
      <c r="B13" s="1219"/>
      <c r="C13" s="375" t="s">
        <v>227</v>
      </c>
      <c r="D13" s="384">
        <f t="shared" si="1"/>
        <v>985173</v>
      </c>
      <c r="E13" s="384">
        <f t="shared" si="2"/>
        <v>985173</v>
      </c>
      <c r="F13" s="384">
        <v>158403</v>
      </c>
      <c r="G13" s="384">
        <v>826770</v>
      </c>
      <c r="H13" s="384">
        <v>0</v>
      </c>
      <c r="I13" s="384">
        <v>0</v>
      </c>
      <c r="J13" s="384">
        <v>0</v>
      </c>
      <c r="K13" s="384">
        <v>838070</v>
      </c>
      <c r="L13" s="384">
        <v>147103</v>
      </c>
      <c r="M13" s="385">
        <v>0</v>
      </c>
      <c r="N13" s="168"/>
    </row>
    <row r="14" spans="1:13" ht="22.5" customHeight="1" thickTop="1">
      <c r="A14" s="1098" t="s">
        <v>240</v>
      </c>
      <c r="B14" s="104" t="s">
        <v>229</v>
      </c>
      <c r="C14" s="104"/>
      <c r="D14" s="386">
        <f>E14+I14+J14</f>
        <v>1856305</v>
      </c>
      <c r="E14" s="386">
        <f>SUM(F14:H14)</f>
        <v>1856305</v>
      </c>
      <c r="F14" s="386">
        <f>SUM(F15:F24)</f>
        <v>31458</v>
      </c>
      <c r="G14" s="386">
        <f>SUM(G15:G24)</f>
        <v>1824847</v>
      </c>
      <c r="H14" s="386">
        <f aca="true" t="shared" si="3" ref="H14:M14">SUM(H15:H24)</f>
        <v>0</v>
      </c>
      <c r="I14" s="386">
        <f t="shared" si="3"/>
        <v>0</v>
      </c>
      <c r="J14" s="386">
        <f t="shared" si="3"/>
        <v>0</v>
      </c>
      <c r="K14" s="386">
        <f t="shared" si="3"/>
        <v>1646282</v>
      </c>
      <c r="L14" s="386">
        <f t="shared" si="3"/>
        <v>193688</v>
      </c>
      <c r="M14" s="387">
        <f t="shared" si="3"/>
        <v>16335</v>
      </c>
    </row>
    <row r="15" spans="1:13" ht="22.5" customHeight="1">
      <c r="A15" s="1098"/>
      <c r="B15" s="1217"/>
      <c r="C15" s="103" t="s">
        <v>230</v>
      </c>
      <c r="D15" s="382">
        <f t="shared" si="1"/>
        <v>0</v>
      </c>
      <c r="E15" s="382">
        <f>SUM(F15:H15)</f>
        <v>0</v>
      </c>
      <c r="F15" s="382">
        <f>'表２１－２'!I26</f>
        <v>0</v>
      </c>
      <c r="G15" s="382">
        <f>'表２１－２'!M26</f>
        <v>0</v>
      </c>
      <c r="H15" s="382">
        <f>'表２１－２'!Q26</f>
        <v>0</v>
      </c>
      <c r="I15" s="382">
        <f>'表２１－２'!U26</f>
        <v>0</v>
      </c>
      <c r="J15" s="382">
        <f>'表２１－２'!Y26</f>
        <v>0</v>
      </c>
      <c r="K15" s="382">
        <f>'表２１－２'!I63</f>
        <v>0</v>
      </c>
      <c r="L15" s="382">
        <f>'表２１－２'!M63</f>
        <v>0</v>
      </c>
      <c r="M15" s="383">
        <f>'表２１－２'!Q63</f>
        <v>0</v>
      </c>
    </row>
    <row r="16" spans="1:13" ht="22.5" customHeight="1">
      <c r="A16" s="1098"/>
      <c r="B16" s="1218"/>
      <c r="C16" s="103" t="s">
        <v>231</v>
      </c>
      <c r="D16" s="382">
        <f t="shared" si="1"/>
        <v>237396</v>
      </c>
      <c r="E16" s="382">
        <f t="shared" si="2"/>
        <v>237396</v>
      </c>
      <c r="F16" s="382">
        <f>'表２１－２'!I27</f>
        <v>0</v>
      </c>
      <c r="G16" s="382">
        <f>'表２１－２'!M27</f>
        <v>237396</v>
      </c>
      <c r="H16" s="382">
        <f>'表２１－２'!Q27</f>
        <v>0</v>
      </c>
      <c r="I16" s="382">
        <f>'表２１－２'!U27</f>
        <v>0</v>
      </c>
      <c r="J16" s="382">
        <f>'表２１－２'!Y27</f>
        <v>0</v>
      </c>
      <c r="K16" s="382">
        <f>'表２１－２'!I64</f>
        <v>204032</v>
      </c>
      <c r="L16" s="382">
        <f>'表２１－２'!M64</f>
        <v>33364</v>
      </c>
      <c r="M16" s="383">
        <f>'表２１－２'!Q64</f>
        <v>0</v>
      </c>
    </row>
    <row r="17" spans="1:13" ht="22.5" customHeight="1">
      <c r="A17" s="1098"/>
      <c r="B17" s="1218"/>
      <c r="C17" s="103" t="s">
        <v>232</v>
      </c>
      <c r="D17" s="382">
        <f t="shared" si="1"/>
        <v>1255454</v>
      </c>
      <c r="E17" s="382">
        <f t="shared" si="2"/>
        <v>1255454</v>
      </c>
      <c r="F17" s="382">
        <f>'表２１－２'!I28</f>
        <v>4237</v>
      </c>
      <c r="G17" s="382">
        <f>'表２１－２'!M28</f>
        <v>1251217</v>
      </c>
      <c r="H17" s="382">
        <f>'表２１－２'!Q28</f>
        <v>0</v>
      </c>
      <c r="I17" s="382">
        <f>'表２１－２'!U28</f>
        <v>0</v>
      </c>
      <c r="J17" s="382">
        <f>'表２１－２'!Y28</f>
        <v>0</v>
      </c>
      <c r="K17" s="382">
        <f>'表２１－２'!I65</f>
        <v>1078795</v>
      </c>
      <c r="L17" s="382">
        <f>'表２１－２'!M65</f>
        <v>160324</v>
      </c>
      <c r="M17" s="383">
        <f>'表２１－２'!Q65</f>
        <v>16335</v>
      </c>
    </row>
    <row r="18" spans="1:13" ht="22.5" customHeight="1">
      <c r="A18" s="1098"/>
      <c r="B18" s="1218"/>
      <c r="C18" s="103" t="s">
        <v>223</v>
      </c>
      <c r="D18" s="382">
        <f t="shared" si="1"/>
        <v>0</v>
      </c>
      <c r="E18" s="382">
        <f t="shared" si="2"/>
        <v>0</v>
      </c>
      <c r="F18" s="382">
        <f>'表２１－２'!I29</f>
        <v>0</v>
      </c>
      <c r="G18" s="382">
        <f>'表２１－２'!M29</f>
        <v>0</v>
      </c>
      <c r="H18" s="382">
        <f>'表２１－２'!Q29</f>
        <v>0</v>
      </c>
      <c r="I18" s="382">
        <f>'表２１－２'!U29</f>
        <v>0</v>
      </c>
      <c r="J18" s="382">
        <f>'表２１－２'!Y29</f>
        <v>0</v>
      </c>
      <c r="K18" s="382">
        <f>'表２１－２'!I66</f>
        <v>0</v>
      </c>
      <c r="L18" s="382">
        <f>'表２１－２'!M66</f>
        <v>0</v>
      </c>
      <c r="M18" s="383">
        <f>'表２１－２'!Q66</f>
        <v>0</v>
      </c>
    </row>
    <row r="19" spans="1:13" ht="22.5" customHeight="1">
      <c r="A19" s="1098"/>
      <c r="B19" s="1218"/>
      <c r="C19" s="103" t="s">
        <v>224</v>
      </c>
      <c r="D19" s="382">
        <f t="shared" si="1"/>
        <v>36477</v>
      </c>
      <c r="E19" s="382">
        <f t="shared" si="2"/>
        <v>36477</v>
      </c>
      <c r="F19" s="382">
        <f>'表２１－２'!I30</f>
        <v>0</v>
      </c>
      <c r="G19" s="382">
        <f>'表２１－２'!M30</f>
        <v>36477</v>
      </c>
      <c r="H19" s="382">
        <f>'表２１－２'!Q30</f>
        <v>0</v>
      </c>
      <c r="I19" s="382">
        <f>'表２１－２'!U30</f>
        <v>0</v>
      </c>
      <c r="J19" s="382">
        <f>'表２１－２'!Y30</f>
        <v>0</v>
      </c>
      <c r="K19" s="382">
        <f>'表２１－２'!I67</f>
        <v>36477</v>
      </c>
      <c r="L19" s="382">
        <f>'表２１－２'!M67</f>
        <v>0</v>
      </c>
      <c r="M19" s="383">
        <f>'表２１－２'!Q67</f>
        <v>0</v>
      </c>
    </row>
    <row r="20" spans="1:13" ht="22.5" customHeight="1">
      <c r="A20" s="1098"/>
      <c r="B20" s="1218"/>
      <c r="C20" s="103" t="s">
        <v>225</v>
      </c>
      <c r="D20" s="382">
        <f t="shared" si="1"/>
        <v>0</v>
      </c>
      <c r="E20" s="382">
        <f t="shared" si="2"/>
        <v>0</v>
      </c>
      <c r="F20" s="382">
        <f>'表２１－２'!I31</f>
        <v>0</v>
      </c>
      <c r="G20" s="382">
        <f>'表２１－２'!M31</f>
        <v>0</v>
      </c>
      <c r="H20" s="382">
        <f>'表２１－２'!Q31</f>
        <v>0</v>
      </c>
      <c r="I20" s="382">
        <f>'表２１－２'!U31</f>
        <v>0</v>
      </c>
      <c r="J20" s="382">
        <f>'表２１－２'!Y31</f>
        <v>0</v>
      </c>
      <c r="K20" s="382">
        <f>'表２１－２'!I68</f>
        <v>0</v>
      </c>
      <c r="L20" s="382">
        <f>'表２１－２'!M68</f>
        <v>0</v>
      </c>
      <c r="M20" s="383">
        <f>'表２１－２'!Q68</f>
        <v>0</v>
      </c>
    </row>
    <row r="21" spans="1:13" ht="22.5" customHeight="1">
      <c r="A21" s="1098"/>
      <c r="B21" s="1218"/>
      <c r="C21" s="103" t="s">
        <v>226</v>
      </c>
      <c r="D21" s="382">
        <f t="shared" si="1"/>
        <v>0</v>
      </c>
      <c r="E21" s="382">
        <f t="shared" si="2"/>
        <v>0</v>
      </c>
      <c r="F21" s="382">
        <f>'表２１－２'!I32</f>
        <v>0</v>
      </c>
      <c r="G21" s="382">
        <f>'表２１－２'!M32</f>
        <v>0</v>
      </c>
      <c r="H21" s="382">
        <f>'表２１－２'!Q32</f>
        <v>0</v>
      </c>
      <c r="I21" s="382">
        <f>'表２１－２'!U32</f>
        <v>0</v>
      </c>
      <c r="J21" s="382">
        <f>'表２１－２'!Y32</f>
        <v>0</v>
      </c>
      <c r="K21" s="382">
        <f>'表２１－２'!I69</f>
        <v>0</v>
      </c>
      <c r="L21" s="382">
        <f>'表２１－２'!M69</f>
        <v>0</v>
      </c>
      <c r="M21" s="383">
        <f>'表２１－２'!Q69</f>
        <v>0</v>
      </c>
    </row>
    <row r="22" spans="1:13" ht="22.5" customHeight="1">
      <c r="A22" s="1098"/>
      <c r="B22" s="1218"/>
      <c r="C22" s="103" t="s">
        <v>233</v>
      </c>
      <c r="D22" s="382">
        <f t="shared" si="1"/>
        <v>155275</v>
      </c>
      <c r="E22" s="382">
        <f t="shared" si="2"/>
        <v>155275</v>
      </c>
      <c r="F22" s="382">
        <f>'表２１－２'!I33</f>
        <v>0</v>
      </c>
      <c r="G22" s="382">
        <f>'表２１－２'!M33</f>
        <v>155275</v>
      </c>
      <c r="H22" s="382">
        <f>'表２１－２'!Q33</f>
        <v>0</v>
      </c>
      <c r="I22" s="382">
        <f>'表２１－２'!U33</f>
        <v>0</v>
      </c>
      <c r="J22" s="382">
        <f>'表２１－２'!Y33</f>
        <v>0</v>
      </c>
      <c r="K22" s="382">
        <f>'表２１－２'!I70</f>
        <v>155275</v>
      </c>
      <c r="L22" s="382">
        <f>'表２１－２'!M70</f>
        <v>0</v>
      </c>
      <c r="M22" s="383">
        <f>'表２１－２'!Q70</f>
        <v>0</v>
      </c>
    </row>
    <row r="23" spans="1:13" ht="27" customHeight="1">
      <c r="A23" s="1098"/>
      <c r="B23" s="1218"/>
      <c r="C23" s="105" t="s">
        <v>234</v>
      </c>
      <c r="D23" s="382">
        <f t="shared" si="1"/>
        <v>99980</v>
      </c>
      <c r="E23" s="382">
        <f t="shared" si="2"/>
        <v>99980</v>
      </c>
      <c r="F23" s="382">
        <f>'表２１－２'!I34</f>
        <v>1835</v>
      </c>
      <c r="G23" s="382">
        <f>'表２１－２'!M34</f>
        <v>98145</v>
      </c>
      <c r="H23" s="382">
        <f>'表２１－２'!Q34</f>
        <v>0</v>
      </c>
      <c r="I23" s="382">
        <f>'表２１－２'!U34</f>
        <v>0</v>
      </c>
      <c r="J23" s="382">
        <f>'表２１－２'!Y34</f>
        <v>0</v>
      </c>
      <c r="K23" s="382">
        <f>'表２１－２'!I71</f>
        <v>99980</v>
      </c>
      <c r="L23" s="382">
        <f>'表２１－２'!M71</f>
        <v>0</v>
      </c>
      <c r="M23" s="383">
        <f>'表２１－２'!Q71</f>
        <v>0</v>
      </c>
    </row>
    <row r="24" spans="1:13" ht="22.5" customHeight="1" thickBot="1">
      <c r="A24" s="1099"/>
      <c r="B24" s="1220"/>
      <c r="C24" s="106" t="s">
        <v>228</v>
      </c>
      <c r="D24" s="388">
        <f t="shared" si="1"/>
        <v>71723</v>
      </c>
      <c r="E24" s="388">
        <f t="shared" si="2"/>
        <v>71723</v>
      </c>
      <c r="F24" s="388">
        <f>'表２１－２'!I35</f>
        <v>25386</v>
      </c>
      <c r="G24" s="388">
        <f>'表２１－２'!M35</f>
        <v>46337</v>
      </c>
      <c r="H24" s="388">
        <f>'表２１－２'!Q35</f>
        <v>0</v>
      </c>
      <c r="I24" s="388">
        <f>'表２１－２'!U35</f>
        <v>0</v>
      </c>
      <c r="J24" s="388">
        <f>'表２１－２'!Y35</f>
        <v>0</v>
      </c>
      <c r="K24" s="388">
        <f>'表２１－２'!I72</f>
        <v>71723</v>
      </c>
      <c r="L24" s="388">
        <f>'表２１－２'!M72</f>
        <v>0</v>
      </c>
      <c r="M24" s="389">
        <f>'表２１－２'!Q72</f>
        <v>0</v>
      </c>
    </row>
    <row r="25" spans="1:13" ht="30" customHeight="1" thickBot="1">
      <c r="A25" s="1215" t="s">
        <v>235</v>
      </c>
      <c r="B25" s="1216"/>
      <c r="C25" s="1216"/>
      <c r="D25" s="378">
        <f>D5+D14</f>
        <v>5070726</v>
      </c>
      <c r="E25" s="378">
        <f aca="true" t="shared" si="4" ref="E25:M25">E5+E14</f>
        <v>5065726</v>
      </c>
      <c r="F25" s="378">
        <f t="shared" si="4"/>
        <v>708741</v>
      </c>
      <c r="G25" s="378">
        <f t="shared" si="4"/>
        <v>4356985</v>
      </c>
      <c r="H25" s="378">
        <f t="shared" si="4"/>
        <v>0</v>
      </c>
      <c r="I25" s="378">
        <f t="shared" si="4"/>
        <v>0</v>
      </c>
      <c r="J25" s="378">
        <f t="shared" si="4"/>
        <v>5000</v>
      </c>
      <c r="K25" s="378">
        <f t="shared" si="4"/>
        <v>4130751</v>
      </c>
      <c r="L25" s="378">
        <f t="shared" si="4"/>
        <v>923556</v>
      </c>
      <c r="M25" s="379">
        <f t="shared" si="4"/>
        <v>16335</v>
      </c>
    </row>
    <row r="27" spans="4:13" ht="13.5">
      <c r="D27" s="168"/>
      <c r="E27" s="168"/>
      <c r="F27" s="168"/>
      <c r="G27" s="168"/>
      <c r="H27" s="168"/>
      <c r="I27" s="168"/>
      <c r="J27" s="168"/>
      <c r="K27" s="168"/>
      <c r="L27" s="168"/>
      <c r="M27" s="168"/>
    </row>
    <row r="28" spans="4:5" ht="13.5">
      <c r="D28" s="168"/>
      <c r="E28" s="168"/>
    </row>
  </sheetData>
  <sheetProtection/>
  <mergeCells count="12">
    <mergeCell ref="A1:G1"/>
    <mergeCell ref="A3:C4"/>
    <mergeCell ref="D3:D4"/>
    <mergeCell ref="E3:H3"/>
    <mergeCell ref="I3:I4"/>
    <mergeCell ref="J3:J4"/>
    <mergeCell ref="A25:C25"/>
    <mergeCell ref="A5:A13"/>
    <mergeCell ref="B6:B13"/>
    <mergeCell ref="A14:A24"/>
    <mergeCell ref="B15:B24"/>
    <mergeCell ref="K3:M3"/>
  </mergeCells>
  <printOptions/>
  <pageMargins left="0.62" right="0.66" top="1" bottom="1" header="0.512" footer="0.512"/>
  <pageSetup fitToHeight="1" fitToWidth="1" horizontalDpi="300" verticalDpi="300" orientation="landscape" paperSize="9" scale="88" r:id="rId1"/>
</worksheet>
</file>

<file path=xl/worksheets/sheet26.xml><?xml version="1.0" encoding="utf-8"?>
<worksheet xmlns="http://schemas.openxmlformats.org/spreadsheetml/2006/main" xmlns:r="http://schemas.openxmlformats.org/officeDocument/2006/relationships">
  <sheetPr>
    <tabColor rgb="FFFF0000"/>
  </sheetPr>
  <dimension ref="B1:L11"/>
  <sheetViews>
    <sheetView showGridLines="0" zoomScalePageLayoutView="0" workbookViewId="0" topLeftCell="A1">
      <selection activeCell="H11" sqref="H11"/>
    </sheetView>
  </sheetViews>
  <sheetFormatPr defaultColWidth="9.00390625" defaultRowHeight="13.5"/>
  <cols>
    <col min="1" max="1" width="5.25390625" style="0" customWidth="1"/>
    <col min="2" max="2" width="11.50390625" style="0" bestFit="1" customWidth="1"/>
    <col min="3" max="3" width="10.625" style="0" bestFit="1" customWidth="1"/>
    <col min="4" max="4" width="7.00390625" style="0" bestFit="1" customWidth="1"/>
    <col min="5" max="5" width="10.625" style="0" bestFit="1" customWidth="1"/>
    <col min="6" max="6" width="9.75390625" style="0" bestFit="1" customWidth="1"/>
    <col min="7" max="7" width="10.25390625" style="0" customWidth="1"/>
    <col min="8" max="8" width="13.375" style="0" bestFit="1" customWidth="1"/>
    <col min="9" max="9" width="7.125" style="0" bestFit="1" customWidth="1"/>
  </cols>
  <sheetData>
    <row r="1" spans="2:9" ht="13.5">
      <c r="B1" s="584" t="s">
        <v>370</v>
      </c>
      <c r="C1" s="71"/>
      <c r="D1" s="71"/>
      <c r="E1" s="71"/>
      <c r="F1" s="71"/>
      <c r="G1" s="71"/>
      <c r="H1" s="71"/>
      <c r="I1" s="71"/>
    </row>
    <row r="2" spans="2:9" ht="41.25" customHeight="1" thickBot="1">
      <c r="B2" s="719"/>
      <c r="C2" s="683"/>
      <c r="D2" s="683"/>
      <c r="E2" s="683"/>
      <c r="F2" s="683"/>
      <c r="G2" s="683"/>
      <c r="H2" s="683"/>
      <c r="I2" s="683"/>
    </row>
    <row r="3" spans="2:9" s="733" customFormat="1" ht="12" thickTop="1">
      <c r="B3" s="724" t="s">
        <v>355</v>
      </c>
      <c r="C3" s="1225" t="s">
        <v>356</v>
      </c>
      <c r="D3" s="1225"/>
      <c r="E3" s="1225"/>
      <c r="F3" s="1225"/>
      <c r="G3" s="1225"/>
      <c r="H3" s="1226" t="s">
        <v>357</v>
      </c>
      <c r="I3" s="1227"/>
    </row>
    <row r="4" spans="2:11" s="733" customFormat="1" ht="22.5">
      <c r="B4" s="723" t="s">
        <v>358</v>
      </c>
      <c r="C4" s="720" t="s">
        <v>359</v>
      </c>
      <c r="D4" s="581" t="s">
        <v>369</v>
      </c>
      <c r="E4" s="720" t="s">
        <v>360</v>
      </c>
      <c r="F4" s="720" t="s">
        <v>163</v>
      </c>
      <c r="G4" s="720" t="s">
        <v>164</v>
      </c>
      <c r="H4" s="721" t="s">
        <v>361</v>
      </c>
      <c r="I4" s="734" t="s">
        <v>369</v>
      </c>
      <c r="K4" s="735"/>
    </row>
    <row r="5" spans="2:9" s="733" customFormat="1" ht="9" customHeight="1">
      <c r="B5" s="722"/>
      <c r="C5" s="736" t="s">
        <v>367</v>
      </c>
      <c r="D5" s="736" t="s">
        <v>368</v>
      </c>
      <c r="E5" s="736" t="s">
        <v>367</v>
      </c>
      <c r="F5" s="736" t="s">
        <v>367</v>
      </c>
      <c r="G5" s="736" t="s">
        <v>367</v>
      </c>
      <c r="H5" s="737" t="s">
        <v>367</v>
      </c>
      <c r="I5" s="738" t="s">
        <v>368</v>
      </c>
    </row>
    <row r="6" spans="2:9" s="733" customFormat="1" ht="11.25">
      <c r="B6" s="725" t="s">
        <v>364</v>
      </c>
      <c r="C6" s="727">
        <f>'表２'!F3</f>
        <v>193350335</v>
      </c>
      <c r="D6" s="729">
        <v>1.5</v>
      </c>
      <c r="E6" s="727">
        <f>'表２'!F4</f>
        <v>160107225</v>
      </c>
      <c r="F6" s="727">
        <f>'表２'!F16</f>
        <v>22090030</v>
      </c>
      <c r="G6" s="727">
        <f>'表２'!F17</f>
        <v>11153080</v>
      </c>
      <c r="H6" s="727">
        <v>16108116181</v>
      </c>
      <c r="I6" s="731">
        <v>0.5</v>
      </c>
    </row>
    <row r="7" spans="2:10" s="733" customFormat="1" ht="11.25">
      <c r="B7" s="725" t="s">
        <v>365</v>
      </c>
      <c r="C7" s="727">
        <f>'表２'!G3</f>
        <v>188476972</v>
      </c>
      <c r="D7" s="729">
        <f>ROUND((C7-C6)/C6*100,1)</f>
        <v>-2.5</v>
      </c>
      <c r="E7" s="727">
        <f>'表２'!G4</f>
        <v>155683780</v>
      </c>
      <c r="F7" s="727">
        <f>'表２'!G16</f>
        <v>21391800</v>
      </c>
      <c r="G7" s="727">
        <f>'表２'!G17</f>
        <v>11401392</v>
      </c>
      <c r="H7" s="727">
        <v>15969518373</v>
      </c>
      <c r="I7" s="731">
        <f>ROUND((H7-H6)/H6*100,1)</f>
        <v>-0.9</v>
      </c>
      <c r="J7" s="735"/>
    </row>
    <row r="8" spans="2:12" s="733" customFormat="1" ht="11.25">
      <c r="B8" s="725" t="s">
        <v>366</v>
      </c>
      <c r="C8" s="727">
        <f>'表２'!H3</f>
        <v>191113147</v>
      </c>
      <c r="D8" s="729">
        <f>ROUND((C8-C7)/C7*100,1)</f>
        <v>1.4</v>
      </c>
      <c r="E8" s="727">
        <f>'表２'!H4</f>
        <v>157069683</v>
      </c>
      <c r="F8" s="727">
        <f>'表２'!H16</f>
        <v>21783161</v>
      </c>
      <c r="G8" s="727">
        <f>'表２'!H17</f>
        <v>12260303</v>
      </c>
      <c r="H8" s="727">
        <v>16384047409</v>
      </c>
      <c r="I8" s="731">
        <f>ROUND((H8-H7)/H7*100,1)</f>
        <v>2.6</v>
      </c>
      <c r="L8" s="735"/>
    </row>
    <row r="9" spans="2:9" s="733" customFormat="1" ht="11.25">
      <c r="B9" s="725" t="s">
        <v>556</v>
      </c>
      <c r="C9" s="727">
        <f>'表２'!I3</f>
        <v>184853627</v>
      </c>
      <c r="D9" s="729">
        <f>ROUND((C9-C8)/C8*100,1)</f>
        <v>-3.3</v>
      </c>
      <c r="E9" s="727">
        <f>'表２'!I4</f>
        <v>155155034</v>
      </c>
      <c r="F9" s="727">
        <f>'表２'!I16</f>
        <v>17731350</v>
      </c>
      <c r="G9" s="727">
        <f>'表２'!I17</f>
        <v>11967243</v>
      </c>
      <c r="H9" s="727">
        <v>16802211470</v>
      </c>
      <c r="I9" s="731">
        <f>ROUND((H9-H8)/H8*100,1)</f>
        <v>2.6</v>
      </c>
    </row>
    <row r="10" spans="2:9" s="733" customFormat="1" ht="12" thickBot="1">
      <c r="B10" s="726" t="s">
        <v>557</v>
      </c>
      <c r="C10" s="728">
        <f>'表２'!J3</f>
        <v>185172618</v>
      </c>
      <c r="D10" s="730">
        <f>ROUND((C10-C9)/C9*100,1)</f>
        <v>0.2</v>
      </c>
      <c r="E10" s="728">
        <f>'表２'!J4</f>
        <v>155605191</v>
      </c>
      <c r="F10" s="728">
        <f>'表２'!J16</f>
        <v>17407800</v>
      </c>
      <c r="G10" s="728">
        <f>'表２'!J17</f>
        <v>12159627</v>
      </c>
      <c r="H10" s="889">
        <v>16207213395</v>
      </c>
      <c r="I10" s="732">
        <f>IF(H10="","",ROUND((H10-H9)/H9*100,1))</f>
        <v>-3.5</v>
      </c>
    </row>
    <row r="11" ht="14.25" thickTop="1">
      <c r="B11" s="71"/>
    </row>
  </sheetData>
  <sheetProtection/>
  <mergeCells count="2">
    <mergeCell ref="C3:G3"/>
    <mergeCell ref="H3:I3"/>
  </mergeCells>
  <printOptions/>
  <pageMargins left="0.7" right="0.7" top="0.75" bottom="0.75" header="0.3" footer="0.3"/>
  <pageSetup orientation="portrait" paperSize="9" r:id="rId2"/>
  <drawing r:id="rId1"/>
</worksheet>
</file>

<file path=xl/worksheets/sheet27.xml><?xml version="1.0" encoding="utf-8"?>
<worksheet xmlns="http://schemas.openxmlformats.org/spreadsheetml/2006/main" xmlns:r="http://schemas.openxmlformats.org/officeDocument/2006/relationships">
  <sheetPr>
    <tabColor rgb="FFFF0000"/>
  </sheetPr>
  <dimension ref="A1:M20"/>
  <sheetViews>
    <sheetView showGridLines="0" zoomScalePageLayoutView="0" workbookViewId="0" topLeftCell="A1">
      <selection activeCell="H11" sqref="H11"/>
    </sheetView>
  </sheetViews>
  <sheetFormatPr defaultColWidth="9.00390625" defaultRowHeight="13.5"/>
  <cols>
    <col min="2" max="2" width="2.50390625" style="0" customWidth="1"/>
    <col min="3" max="3" width="3.50390625" style="0" customWidth="1"/>
    <col min="4" max="4" width="4.00390625" style="0" customWidth="1"/>
    <col min="5" max="5" width="12.875" style="0" customWidth="1"/>
    <col min="6" max="6" width="11.875" style="0" bestFit="1" customWidth="1"/>
    <col min="7" max="8" width="9.125" style="0" bestFit="1" customWidth="1"/>
  </cols>
  <sheetData>
    <row r="1" spans="1:9" ht="13.5">
      <c r="A1" s="852" t="s">
        <v>384</v>
      </c>
      <c r="B1" s="541"/>
      <c r="C1" s="541"/>
      <c r="D1" s="541"/>
      <c r="E1" s="541"/>
      <c r="F1" s="541"/>
      <c r="G1" s="541"/>
      <c r="H1" s="541"/>
      <c r="I1" s="541"/>
    </row>
    <row r="2" spans="1:9" ht="14.25" thickBot="1">
      <c r="A2" s="541"/>
      <c r="B2" s="585" t="s">
        <v>516</v>
      </c>
      <c r="C2" s="586"/>
      <c r="D2" s="586"/>
      <c r="E2" s="586"/>
      <c r="F2" s="586"/>
      <c r="G2" s="586"/>
      <c r="H2" s="586"/>
      <c r="I2" s="853"/>
    </row>
    <row r="3" spans="1:9" ht="24">
      <c r="A3" s="853"/>
      <c r="B3" s="1243" t="s">
        <v>371</v>
      </c>
      <c r="C3" s="1244"/>
      <c r="D3" s="1244"/>
      <c r="E3" s="1244"/>
      <c r="F3" s="587" t="s">
        <v>361</v>
      </c>
      <c r="G3" s="587" t="s">
        <v>372</v>
      </c>
      <c r="H3" s="609" t="s">
        <v>518</v>
      </c>
      <c r="I3" s="854"/>
    </row>
    <row r="4" spans="1:9" ht="13.5">
      <c r="A4" s="853"/>
      <c r="B4" s="588"/>
      <c r="C4" s="588"/>
      <c r="D4" s="588"/>
      <c r="E4" s="588"/>
      <c r="F4" s="589" t="s">
        <v>362</v>
      </c>
      <c r="G4" s="589" t="s">
        <v>363</v>
      </c>
      <c r="H4" s="589" t="s">
        <v>363</v>
      </c>
      <c r="I4" s="855"/>
    </row>
    <row r="5" spans="1:12" ht="13.5">
      <c r="A5" s="853"/>
      <c r="B5" s="1245" t="s">
        <v>28</v>
      </c>
      <c r="C5" s="1245"/>
      <c r="D5" s="1245"/>
      <c r="E5" s="1246"/>
      <c r="F5" s="590">
        <f>'表５'!E5</f>
        <v>185172618</v>
      </c>
      <c r="G5" s="591">
        <f>ROUND(F5/$F$5*100,1)</f>
        <v>100</v>
      </c>
      <c r="H5" s="592">
        <f>ROUND(('表２１－１'!E8-'表２１－１'!D8)/'表２１－１'!D8*100,1)</f>
        <v>0.2</v>
      </c>
      <c r="I5" s="856"/>
      <c r="J5" s="486">
        <f>G5</f>
        <v>100</v>
      </c>
      <c r="K5">
        <f>ROUND(G5/$G$5*100,1)</f>
        <v>100</v>
      </c>
      <c r="L5" s="489">
        <f>SUM(L6,L17:L18)</f>
        <v>99.99999999999999</v>
      </c>
    </row>
    <row r="6" spans="1:13" ht="13.5">
      <c r="A6" s="853"/>
      <c r="B6" s="593"/>
      <c r="C6" s="1247" t="s">
        <v>29</v>
      </c>
      <c r="D6" s="1248"/>
      <c r="E6" s="1248"/>
      <c r="F6" s="594">
        <f>'表５'!F5</f>
        <v>155605191</v>
      </c>
      <c r="G6" s="595">
        <f>ROUND(F6/$F$5*100,1)</f>
        <v>84</v>
      </c>
      <c r="H6" s="596">
        <f>ROUND(('表２１－１'!E10-'表２１－１'!D10)/'表２１－１'!D10*100,1)</f>
        <v>0.3</v>
      </c>
      <c r="I6" s="856"/>
      <c r="J6" s="487">
        <f aca="true" t="shared" si="0" ref="J6:J12">G6</f>
        <v>84</v>
      </c>
      <c r="K6" s="488">
        <f aca="true" t="shared" si="1" ref="K6:K18">ROUND(G6/$G$5*100,1)</f>
        <v>84</v>
      </c>
      <c r="L6" s="491">
        <f>SUM(K7:K16)</f>
        <v>83.99999999999999</v>
      </c>
      <c r="M6" s="490">
        <f>IF(K6=L6,"","「100％にならないよ！」")</f>
      </c>
    </row>
    <row r="7" spans="1:11" ht="13.5">
      <c r="A7" s="853"/>
      <c r="B7" s="597"/>
      <c r="C7" s="598"/>
      <c r="D7" s="1234" t="s">
        <v>30</v>
      </c>
      <c r="E7" s="1234"/>
      <c r="F7" s="849">
        <f>'表５'!G5</f>
        <v>1493749</v>
      </c>
      <c r="G7" s="600">
        <f>ROUND(F7/$F$5*100,1)</f>
        <v>0.8</v>
      </c>
      <c r="H7" s="592">
        <f>ROUND(('表２１－１'!E11-'表２１－１'!D11)/'表２１－１'!D11*100,1)</f>
        <v>-9.2</v>
      </c>
      <c r="I7" s="856"/>
      <c r="J7" s="486">
        <f t="shared" si="0"/>
        <v>0.8</v>
      </c>
      <c r="K7">
        <f t="shared" si="1"/>
        <v>0.8</v>
      </c>
    </row>
    <row r="8" spans="1:11" ht="13.5">
      <c r="A8" s="853"/>
      <c r="B8" s="597"/>
      <c r="C8" s="601"/>
      <c r="D8" s="1234" t="s">
        <v>31</v>
      </c>
      <c r="E8" s="1234"/>
      <c r="F8" s="849">
        <f>'表５'!H5</f>
        <v>67762179</v>
      </c>
      <c r="G8" s="600">
        <f>ROUND(F8/$F$5*100,1)</f>
        <v>36.6</v>
      </c>
      <c r="H8" s="592">
        <f>ROUND(('表２１－１'!E12-'表２１－１'!D12)/'表２１－１'!D12*100,1)</f>
        <v>-1.6</v>
      </c>
      <c r="I8" s="856"/>
      <c r="J8" s="486">
        <f t="shared" si="0"/>
        <v>36.6</v>
      </c>
      <c r="K8">
        <f t="shared" si="1"/>
        <v>36.6</v>
      </c>
    </row>
    <row r="9" spans="1:11" ht="13.5">
      <c r="A9" s="853"/>
      <c r="B9" s="597"/>
      <c r="C9" s="601"/>
      <c r="D9" s="1234" t="s">
        <v>32</v>
      </c>
      <c r="E9" s="1234"/>
      <c r="F9" s="849">
        <f>'表５'!I5</f>
        <v>37540518</v>
      </c>
      <c r="G9" s="600">
        <f aca="true" t="shared" si="2" ref="G9:G18">ROUND(F9/$F$5*100,1)</f>
        <v>20.3</v>
      </c>
      <c r="H9" s="592">
        <f>ROUND(('表２１－１'!E13-'表２１－１'!D13)/'表２１－１'!D13*100,1)</f>
        <v>-3.5</v>
      </c>
      <c r="I9" s="856"/>
      <c r="J9" s="486">
        <f t="shared" si="0"/>
        <v>20.3</v>
      </c>
      <c r="K9">
        <f t="shared" si="1"/>
        <v>20.3</v>
      </c>
    </row>
    <row r="10" spans="1:11" ht="13.5">
      <c r="A10" s="853"/>
      <c r="B10" s="597"/>
      <c r="C10" s="601"/>
      <c r="D10" s="1234" t="s">
        <v>243</v>
      </c>
      <c r="E10" s="1234"/>
      <c r="F10" s="849">
        <f>'表５'!J5</f>
        <v>10008782</v>
      </c>
      <c r="G10" s="600">
        <f t="shared" si="2"/>
        <v>5.4</v>
      </c>
      <c r="H10" s="592">
        <f>ROUND(('表２１－１'!E14-'表２１－１'!D14)/'表２１－１'!D14*100,1)</f>
        <v>1.9</v>
      </c>
      <c r="I10" s="856"/>
      <c r="J10" s="486">
        <f t="shared" si="0"/>
        <v>5.4</v>
      </c>
      <c r="K10">
        <f t="shared" si="1"/>
        <v>5.4</v>
      </c>
    </row>
    <row r="11" spans="1:11" ht="13.5">
      <c r="A11" s="853"/>
      <c r="B11" s="597"/>
      <c r="C11" s="601"/>
      <c r="D11" s="1235" t="s">
        <v>33</v>
      </c>
      <c r="E11" s="599" t="s">
        <v>34</v>
      </c>
      <c r="F11" s="849">
        <f>'表５'!K5</f>
        <v>33668766</v>
      </c>
      <c r="G11" s="600">
        <f t="shared" si="2"/>
        <v>18.2</v>
      </c>
      <c r="H11" s="592">
        <f>ROUND(('表２１－１'!E15-'表２１－１'!D15)/'表２１－１'!D15*100,1)</f>
        <v>7.6</v>
      </c>
      <c r="I11" s="856"/>
      <c r="J11" s="486">
        <f t="shared" si="0"/>
        <v>18.2</v>
      </c>
      <c r="K11">
        <f t="shared" si="1"/>
        <v>18.2</v>
      </c>
    </row>
    <row r="12" spans="1:11" ht="13.5">
      <c r="A12" s="853"/>
      <c r="B12" s="597"/>
      <c r="C12" s="601"/>
      <c r="D12" s="1235"/>
      <c r="E12" s="599" t="s">
        <v>35</v>
      </c>
      <c r="F12" s="849">
        <f>'表５'!L5</f>
        <v>942570</v>
      </c>
      <c r="G12" s="600">
        <f t="shared" si="2"/>
        <v>0.5</v>
      </c>
      <c r="H12" s="592">
        <f>ROUND(('表２１－１'!E16-'表２１－１'!D16)/'表２１－１'!D16*100,1)</f>
        <v>5.1</v>
      </c>
      <c r="I12" s="856"/>
      <c r="J12" s="486">
        <f t="shared" si="0"/>
        <v>0.5</v>
      </c>
      <c r="K12">
        <f t="shared" si="1"/>
        <v>0.5</v>
      </c>
    </row>
    <row r="13" spans="1:11" ht="13.5">
      <c r="A13" s="853"/>
      <c r="B13" s="597"/>
      <c r="C13" s="601"/>
      <c r="D13" s="1235"/>
      <c r="E13" s="599" t="s">
        <v>36</v>
      </c>
      <c r="F13" s="849">
        <f>'表５'!M5</f>
        <v>168970</v>
      </c>
      <c r="G13" s="600">
        <f t="shared" si="2"/>
        <v>0.1</v>
      </c>
      <c r="H13" s="592">
        <f>ROUND(('表２１－１'!E17-'表２１－１'!D17)/'表２１－１'!D17*100,1)</f>
        <v>-4.5</v>
      </c>
      <c r="I13" s="856"/>
      <c r="J13" s="486">
        <f aca="true" t="shared" si="3" ref="J13:J18">G13</f>
        <v>0.1</v>
      </c>
      <c r="K13">
        <f t="shared" si="1"/>
        <v>0.1</v>
      </c>
    </row>
    <row r="14" spans="1:11" ht="13.5">
      <c r="A14" s="853"/>
      <c r="B14" s="597"/>
      <c r="C14" s="1236" t="s">
        <v>373</v>
      </c>
      <c r="D14" s="1238" t="s">
        <v>374</v>
      </c>
      <c r="E14" s="1239"/>
      <c r="F14" s="849">
        <f>'表５'!N5</f>
        <v>2307137</v>
      </c>
      <c r="G14" s="600">
        <f t="shared" si="2"/>
        <v>1.2</v>
      </c>
      <c r="H14" s="592">
        <f>ROUND(('表２１－１'!E18-'表２１－１'!D18)/'表２１－１'!D18*100,1)</f>
        <v>3.1</v>
      </c>
      <c r="I14" s="856"/>
      <c r="J14" s="486">
        <f t="shared" si="3"/>
        <v>1.2</v>
      </c>
      <c r="K14">
        <f t="shared" si="1"/>
        <v>1.2</v>
      </c>
    </row>
    <row r="15" spans="1:11" ht="13.5">
      <c r="A15" s="853"/>
      <c r="B15" s="597"/>
      <c r="C15" s="1236"/>
      <c r="D15" s="1238" t="s">
        <v>39</v>
      </c>
      <c r="E15" s="1240"/>
      <c r="F15" s="849">
        <f>'表５'!O5</f>
        <v>212128</v>
      </c>
      <c r="G15" s="600">
        <f t="shared" si="2"/>
        <v>0.1</v>
      </c>
      <c r="H15" s="592">
        <f>ROUND(('表２１－１'!E19-'表２１－１'!D19)/'表２１－１'!D19*100,1)</f>
        <v>-14</v>
      </c>
      <c r="I15" s="856"/>
      <c r="J15" s="486">
        <f t="shared" si="3"/>
        <v>0.1</v>
      </c>
      <c r="K15">
        <f t="shared" si="1"/>
        <v>0.1</v>
      </c>
    </row>
    <row r="16" spans="1:11" ht="13.5">
      <c r="A16" s="853"/>
      <c r="B16" s="597"/>
      <c r="C16" s="1237"/>
      <c r="D16" s="1241" t="s">
        <v>375</v>
      </c>
      <c r="E16" s="1242"/>
      <c r="F16" s="849">
        <f>'表５'!P5</f>
        <v>1500392</v>
      </c>
      <c r="G16" s="600">
        <f t="shared" si="2"/>
        <v>0.8</v>
      </c>
      <c r="H16" s="592">
        <f>ROUND(('表２１－１'!E22-'表２１－１'!D22)/'表２１－１'!D22*100,1)</f>
        <v>40.3</v>
      </c>
      <c r="I16" s="856"/>
      <c r="J16" s="486">
        <f t="shared" si="3"/>
        <v>0.8</v>
      </c>
      <c r="K16">
        <f t="shared" si="1"/>
        <v>0.8</v>
      </c>
    </row>
    <row r="17" spans="1:12" ht="13.5">
      <c r="A17" s="853"/>
      <c r="B17" s="602"/>
      <c r="C17" s="1228" t="s">
        <v>376</v>
      </c>
      <c r="D17" s="1229"/>
      <c r="E17" s="1230"/>
      <c r="F17" s="594">
        <f>'表５'!Q5</f>
        <v>17407800</v>
      </c>
      <c r="G17" s="595">
        <f t="shared" si="2"/>
        <v>9.4</v>
      </c>
      <c r="H17" s="603">
        <f>ROUND(('表２１－１'!E25-'表２１－１'!D25)/'表２１－１'!D25*100,1)</f>
        <v>-1.8</v>
      </c>
      <c r="I17" s="856"/>
      <c r="J17" s="487">
        <f t="shared" si="3"/>
        <v>9.4</v>
      </c>
      <c r="K17" s="488">
        <f t="shared" si="1"/>
        <v>9.4</v>
      </c>
      <c r="L17" s="488">
        <f>K17</f>
        <v>9.4</v>
      </c>
    </row>
    <row r="18" spans="1:12" ht="14.25" thickBot="1">
      <c r="A18" s="541"/>
      <c r="B18" s="604"/>
      <c r="C18" s="1231" t="s">
        <v>41</v>
      </c>
      <c r="D18" s="1232"/>
      <c r="E18" s="1233"/>
      <c r="F18" s="605">
        <f>'表５'!R5</f>
        <v>12159627</v>
      </c>
      <c r="G18" s="606">
        <f t="shared" si="2"/>
        <v>6.6</v>
      </c>
      <c r="H18" s="607">
        <f>ROUND(('表２１－１'!E37-'表２１－１'!D37)/'表２１－１'!D37*100,1)</f>
        <v>1.6</v>
      </c>
      <c r="I18" s="856"/>
      <c r="J18" s="487">
        <f t="shared" si="3"/>
        <v>6.6</v>
      </c>
      <c r="K18" s="488">
        <f t="shared" si="1"/>
        <v>6.6</v>
      </c>
      <c r="L18" s="488">
        <f>K18</f>
        <v>6.6</v>
      </c>
    </row>
    <row r="19" spans="1:9" ht="13.5">
      <c r="A19" s="541"/>
      <c r="B19" s="541"/>
      <c r="C19" s="541"/>
      <c r="D19" s="541"/>
      <c r="E19" s="541"/>
      <c r="F19" s="541"/>
      <c r="G19" s="541"/>
      <c r="H19" s="541"/>
      <c r="I19" s="541"/>
    </row>
    <row r="20" spans="1:9" ht="13.5">
      <c r="A20" s="541"/>
      <c r="B20" s="541"/>
      <c r="C20" s="541"/>
      <c r="D20" s="541"/>
      <c r="E20" s="541"/>
      <c r="F20" s="541"/>
      <c r="G20" s="541"/>
      <c r="H20" s="541"/>
      <c r="I20" s="541"/>
    </row>
  </sheetData>
  <sheetProtection/>
  <mergeCells count="14">
    <mergeCell ref="B3:E3"/>
    <mergeCell ref="B5:E5"/>
    <mergeCell ref="C6:E6"/>
    <mergeCell ref="D7:E7"/>
    <mergeCell ref="D8:E8"/>
    <mergeCell ref="D9:E9"/>
    <mergeCell ref="C17:E17"/>
    <mergeCell ref="C18:E18"/>
    <mergeCell ref="D10:E10"/>
    <mergeCell ref="D11:D13"/>
    <mergeCell ref="C14:C16"/>
    <mergeCell ref="D14:E14"/>
    <mergeCell ref="D15:E15"/>
    <mergeCell ref="D16:E16"/>
  </mergeCell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sheetPr>
    <tabColor rgb="FFFF0000"/>
  </sheetPr>
  <dimension ref="A1:G7"/>
  <sheetViews>
    <sheetView showGridLines="0" zoomScalePageLayoutView="0" workbookViewId="0" topLeftCell="A1">
      <selection activeCell="H11" sqref="H11"/>
    </sheetView>
  </sheetViews>
  <sheetFormatPr defaultColWidth="9.00390625" defaultRowHeight="13.5"/>
  <cols>
    <col min="1" max="1" width="11.375" style="0" bestFit="1" customWidth="1"/>
    <col min="2" max="3" width="10.25390625" style="0" bestFit="1" customWidth="1"/>
    <col min="4" max="4" width="14.375" style="0" bestFit="1" customWidth="1"/>
    <col min="5" max="5" width="15.125" style="0" bestFit="1" customWidth="1"/>
    <col min="6" max="7" width="11.00390625" style="0" bestFit="1" customWidth="1"/>
  </cols>
  <sheetData>
    <row r="1" spans="1:7" ht="13.5">
      <c r="A1" s="481" t="s">
        <v>28</v>
      </c>
      <c r="B1" s="71"/>
      <c r="C1" s="71"/>
      <c r="D1" s="71"/>
      <c r="E1" s="493" t="s">
        <v>377</v>
      </c>
      <c r="F1" s="71"/>
      <c r="G1" s="71"/>
    </row>
    <row r="2" spans="1:7" ht="13.5">
      <c r="A2" s="484">
        <f>'表５'!E5</f>
        <v>185172618</v>
      </c>
      <c r="B2" s="71"/>
      <c r="C2" s="71"/>
      <c r="D2" s="71"/>
      <c r="E2" s="484">
        <f>'表５'!F5</f>
        <v>155605191</v>
      </c>
      <c r="F2" s="71"/>
      <c r="G2" s="71"/>
    </row>
    <row r="3" spans="1:7" ht="13.5">
      <c r="A3" s="1249" t="s">
        <v>358</v>
      </c>
      <c r="B3" s="1251" t="s">
        <v>360</v>
      </c>
      <c r="C3" s="1252"/>
      <c r="D3" s="1252"/>
      <c r="E3" s="1253"/>
      <c r="F3" s="1249" t="s">
        <v>163</v>
      </c>
      <c r="G3" s="1249" t="s">
        <v>164</v>
      </c>
    </row>
    <row r="4" spans="1:7" ht="13.5">
      <c r="A4" s="1250"/>
      <c r="B4" s="494" t="s">
        <v>31</v>
      </c>
      <c r="C4" s="494" t="s">
        <v>32</v>
      </c>
      <c r="D4" s="495" t="s">
        <v>378</v>
      </c>
      <c r="E4" s="494" t="s">
        <v>379</v>
      </c>
      <c r="F4" s="1250"/>
      <c r="G4" s="1250"/>
    </row>
    <row r="5" spans="1:7" ht="13.5">
      <c r="A5" s="496" t="str">
        <f>'表２'!J2</f>
        <v>令和３年度</v>
      </c>
      <c r="B5" s="497">
        <f>'表２１－１'!E12</f>
        <v>67762179</v>
      </c>
      <c r="C5" s="497">
        <f>'表２１－１'!E13</f>
        <v>37540518</v>
      </c>
      <c r="D5" s="497">
        <f>'表２１－１'!E15</f>
        <v>33668766</v>
      </c>
      <c r="E5" s="497">
        <f>E2-SUM(B5:D5)</f>
        <v>16633728</v>
      </c>
      <c r="F5" s="497">
        <f>'表２１－１'!E25</f>
        <v>17407800</v>
      </c>
      <c r="G5" s="497">
        <f>'表２１－１'!E37</f>
        <v>12159627</v>
      </c>
    </row>
    <row r="6" spans="1:7" ht="13.5">
      <c r="A6" s="71"/>
      <c r="B6" s="498">
        <f aca="true" t="shared" si="0" ref="B6:G6">ROUND(B5/$A$2*100,5)</f>
        <v>36.59406</v>
      </c>
      <c r="C6" s="498">
        <f t="shared" si="0"/>
        <v>20.27326</v>
      </c>
      <c r="D6" s="498">
        <f t="shared" si="0"/>
        <v>18.18237</v>
      </c>
      <c r="E6" s="498">
        <f t="shared" si="0"/>
        <v>8.98282</v>
      </c>
      <c r="F6" s="498">
        <f t="shared" si="0"/>
        <v>9.40085</v>
      </c>
      <c r="G6" s="498">
        <f t="shared" si="0"/>
        <v>6.56664</v>
      </c>
    </row>
    <row r="7" spans="1:7" ht="13.5">
      <c r="A7" s="71"/>
      <c r="B7" s="1254">
        <f>SUM(B6:E6)</f>
        <v>84.03251</v>
      </c>
      <c r="C7" s="1254"/>
      <c r="D7" s="1254"/>
      <c r="E7" s="1254"/>
      <c r="F7" s="498">
        <f>F6</f>
        <v>9.40085</v>
      </c>
      <c r="G7" s="498">
        <f>G6</f>
        <v>6.56664</v>
      </c>
    </row>
  </sheetData>
  <sheetProtection/>
  <mergeCells count="5">
    <mergeCell ref="A3:A4"/>
    <mergeCell ref="B3:E3"/>
    <mergeCell ref="F3:F4"/>
    <mergeCell ref="G3:G4"/>
    <mergeCell ref="B7:E7"/>
  </mergeCell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sheetPr>
    <tabColor rgb="FFFF0000"/>
  </sheetPr>
  <dimension ref="A1:J20"/>
  <sheetViews>
    <sheetView showGridLines="0" zoomScalePageLayoutView="0" workbookViewId="0" topLeftCell="A1">
      <selection activeCell="H11" sqref="H11"/>
    </sheetView>
  </sheetViews>
  <sheetFormatPr defaultColWidth="9.00390625" defaultRowHeight="13.5"/>
  <cols>
    <col min="2" max="2" width="2.50390625" style="0" customWidth="1"/>
    <col min="3" max="3" width="2.375" style="0" customWidth="1"/>
    <col min="4" max="4" width="21.125" style="0" customWidth="1"/>
    <col min="5" max="5" width="10.375" style="0" bestFit="1" customWidth="1"/>
    <col min="7" max="7" width="8.00390625" style="0" bestFit="1" customWidth="1"/>
  </cols>
  <sheetData>
    <row r="1" spans="1:8" ht="13.5">
      <c r="A1" s="541"/>
      <c r="B1" s="852" t="s">
        <v>383</v>
      </c>
      <c r="C1" s="541"/>
      <c r="D1" s="541"/>
      <c r="E1" s="541"/>
      <c r="F1" s="541"/>
      <c r="G1" s="541"/>
      <c r="H1" s="541"/>
    </row>
    <row r="2" spans="1:8" ht="14.25" thickBot="1">
      <c r="A2" s="541"/>
      <c r="B2" s="825" t="s">
        <v>517</v>
      </c>
      <c r="C2" s="826"/>
      <c r="D2" s="826"/>
      <c r="E2" s="826"/>
      <c r="F2" s="826"/>
      <c r="G2" s="826"/>
      <c r="H2" s="541"/>
    </row>
    <row r="3" spans="1:8" ht="39" customHeight="1" thickTop="1">
      <c r="A3" s="541"/>
      <c r="B3" s="1255" t="s">
        <v>380</v>
      </c>
      <c r="C3" s="1255"/>
      <c r="D3" s="1256"/>
      <c r="E3" s="608" t="s">
        <v>381</v>
      </c>
      <c r="F3" s="587" t="s">
        <v>372</v>
      </c>
      <c r="G3" s="609" t="s">
        <v>518</v>
      </c>
      <c r="H3" s="541"/>
    </row>
    <row r="4" spans="1:8" ht="13.5">
      <c r="A4" s="853"/>
      <c r="B4" s="1259" t="s">
        <v>28</v>
      </c>
      <c r="C4" s="1259"/>
      <c r="D4" s="1260"/>
      <c r="E4" s="610" t="s">
        <v>362</v>
      </c>
      <c r="F4" s="589" t="s">
        <v>363</v>
      </c>
      <c r="G4" s="589" t="s">
        <v>363</v>
      </c>
      <c r="H4" s="541"/>
    </row>
    <row r="5" spans="1:10" ht="13.5">
      <c r="A5" s="853"/>
      <c r="B5" s="1261"/>
      <c r="C5" s="1261"/>
      <c r="D5" s="1262"/>
      <c r="E5" s="611">
        <f>'表６'!E5</f>
        <v>185172618</v>
      </c>
      <c r="F5" s="612">
        <f>ROUND(E5/$E$5*100,1)</f>
        <v>100</v>
      </c>
      <c r="G5" s="592">
        <f>'表２１－１'!G8</f>
        <v>0.17256410121722957</v>
      </c>
      <c r="H5" s="541"/>
      <c r="I5">
        <f>E5/$E$5</f>
        <v>1</v>
      </c>
      <c r="J5" s="485"/>
    </row>
    <row r="6" spans="1:10" ht="13.5">
      <c r="A6" s="853"/>
      <c r="B6" s="613"/>
      <c r="C6" s="1257" t="s">
        <v>45</v>
      </c>
      <c r="D6" s="1258"/>
      <c r="E6" s="614">
        <f>E5-SUM(E10:E11)</f>
        <v>178292523</v>
      </c>
      <c r="F6" s="615">
        <f aca="true" t="shared" si="0" ref="F6:F13">ROUND(E6/$E$5*100,1)</f>
        <v>96.3</v>
      </c>
      <c r="G6" s="616">
        <f>('表３'!J4-'表３'!I4)/'表３'!I4*100</f>
        <v>0.3006524220678362</v>
      </c>
      <c r="H6" s="541"/>
      <c r="I6">
        <f aca="true" t="shared" si="1" ref="I6:I13">E6/$E$5</f>
        <v>0.9628449655553285</v>
      </c>
      <c r="J6" s="485"/>
    </row>
    <row r="7" spans="1:10" ht="13.5">
      <c r="A7" s="853"/>
      <c r="B7" s="617"/>
      <c r="C7" s="618"/>
      <c r="D7" s="619" t="s">
        <v>46</v>
      </c>
      <c r="E7" s="620">
        <f>'表６'!G5</f>
        <v>21478629</v>
      </c>
      <c r="F7" s="612">
        <f>ROUND(E7/$E$5*100,1)</f>
        <v>11.6</v>
      </c>
      <c r="G7" s="592">
        <f>'表２１－１'!K8</f>
        <v>-10.16361554800681</v>
      </c>
      <c r="H7" s="541"/>
      <c r="I7">
        <f t="shared" si="1"/>
        <v>0.11599246817366918</v>
      </c>
      <c r="J7" s="485"/>
    </row>
    <row r="8" spans="1:10" ht="13.5">
      <c r="A8" s="853"/>
      <c r="B8" s="617"/>
      <c r="C8" s="621"/>
      <c r="D8" s="619" t="s">
        <v>382</v>
      </c>
      <c r="E8" s="620">
        <f>'表６'!H5</f>
        <v>103449122</v>
      </c>
      <c r="F8" s="612">
        <f>ROUND(E8/$E$5*100,1)</f>
        <v>55.9</v>
      </c>
      <c r="G8" s="592">
        <f>'表２１－１'!O8</f>
        <v>2.413447576957454</v>
      </c>
      <c r="H8" s="541"/>
      <c r="I8">
        <f t="shared" si="1"/>
        <v>0.5586631712470577</v>
      </c>
      <c r="J8" s="485"/>
    </row>
    <row r="9" spans="1:10" ht="13.5">
      <c r="A9" s="853"/>
      <c r="B9" s="617"/>
      <c r="C9" s="622"/>
      <c r="D9" s="619" t="s">
        <v>388</v>
      </c>
      <c r="E9" s="620">
        <f>'表６'!I5</f>
        <v>53364772</v>
      </c>
      <c r="F9" s="612">
        <f t="shared" si="0"/>
        <v>28.8</v>
      </c>
      <c r="G9" s="592">
        <f>'表２１－１'!S8</f>
        <v>0.9965495994347878</v>
      </c>
      <c r="H9" s="541"/>
      <c r="I9">
        <f t="shared" si="1"/>
        <v>0.28818932613460163</v>
      </c>
      <c r="J9" s="485"/>
    </row>
    <row r="10" spans="1:10" ht="13.5">
      <c r="A10" s="853"/>
      <c r="B10" s="617"/>
      <c r="C10" s="1257" t="s">
        <v>48</v>
      </c>
      <c r="D10" s="1258"/>
      <c r="E10" s="819">
        <f>'表６'!J5</f>
        <v>6845300</v>
      </c>
      <c r="F10" s="615">
        <f t="shared" si="0"/>
        <v>3.7</v>
      </c>
      <c r="G10" s="616">
        <f>'表２１－１'!W8</f>
        <v>-3.185749340574637</v>
      </c>
      <c r="H10" s="541"/>
      <c r="I10">
        <f t="shared" si="1"/>
        <v>0.036967128692861055</v>
      </c>
      <c r="J10" s="485"/>
    </row>
    <row r="11" spans="1:10" ht="13.5">
      <c r="A11" s="853"/>
      <c r="B11" s="617"/>
      <c r="C11" s="1257" t="s">
        <v>385</v>
      </c>
      <c r="D11" s="1258"/>
      <c r="E11" s="614">
        <f>SUM(E12:E13)</f>
        <v>34795</v>
      </c>
      <c r="F11" s="615">
        <f t="shared" si="0"/>
        <v>0</v>
      </c>
      <c r="G11" s="616">
        <f>('表３'!J9-'表３'!I9)/'表３'!I9*100</f>
        <v>39.24683848247159</v>
      </c>
      <c r="H11" s="541"/>
      <c r="I11">
        <f t="shared" si="1"/>
        <v>0.00018790575181045396</v>
      </c>
      <c r="J11" s="485"/>
    </row>
    <row r="12" spans="1:10" ht="13.5" customHeight="1">
      <c r="A12" s="853"/>
      <c r="B12" s="617"/>
      <c r="C12" s="818"/>
      <c r="D12" s="782" t="s">
        <v>386</v>
      </c>
      <c r="E12" s="620">
        <f>'表６'!K5</f>
        <v>22390</v>
      </c>
      <c r="F12" s="612">
        <f t="shared" si="0"/>
        <v>0</v>
      </c>
      <c r="G12" s="592">
        <f>'表２１－１'!AA8</f>
        <v>2698.75</v>
      </c>
      <c r="H12" s="541"/>
      <c r="I12">
        <f t="shared" si="1"/>
        <v>0.0001209142055765502</v>
      </c>
      <c r="J12" s="485"/>
    </row>
    <row r="13" spans="1:10" ht="14.25" thickBot="1">
      <c r="A13" s="541"/>
      <c r="B13" s="820"/>
      <c r="C13" s="821"/>
      <c r="D13" s="822" t="s">
        <v>387</v>
      </c>
      <c r="E13" s="813">
        <f>'表６'!L5</f>
        <v>12405</v>
      </c>
      <c r="F13" s="823">
        <f t="shared" si="0"/>
        <v>0</v>
      </c>
      <c r="G13" s="824">
        <f>'表２１－１'!G45</f>
        <v>-48.71423846535472</v>
      </c>
      <c r="H13" s="541"/>
      <c r="I13">
        <f t="shared" si="1"/>
        <v>6.699154623390377E-05</v>
      </c>
      <c r="J13" s="485"/>
    </row>
    <row r="14" spans="1:8" ht="14.25" thickTop="1">
      <c r="A14" s="541"/>
      <c r="B14" s="853"/>
      <c r="C14" s="853"/>
      <c r="D14" s="541"/>
      <c r="E14" s="541"/>
      <c r="F14" s="541"/>
      <c r="G14" s="541"/>
      <c r="H14" s="541"/>
    </row>
    <row r="15" spans="1:8" ht="13.5">
      <c r="A15" s="541"/>
      <c r="B15" s="541"/>
      <c r="C15" s="541"/>
      <c r="D15" s="541"/>
      <c r="E15" s="541"/>
      <c r="F15" s="541"/>
      <c r="G15" s="541"/>
      <c r="H15" s="541"/>
    </row>
    <row r="16" spans="1:8" ht="13.5">
      <c r="A16" s="541"/>
      <c r="B16" s="541"/>
      <c r="C16" s="541"/>
      <c r="D16" s="541"/>
      <c r="E16" s="541"/>
      <c r="F16" s="541"/>
      <c r="G16" s="541"/>
      <c r="H16" s="541"/>
    </row>
    <row r="17" spans="1:8" ht="13.5">
      <c r="A17" s="541"/>
      <c r="B17" s="541"/>
      <c r="C17" s="541"/>
      <c r="D17" s="541"/>
      <c r="E17" s="541"/>
      <c r="F17" s="541"/>
      <c r="G17" s="541"/>
      <c r="H17" s="541"/>
    </row>
    <row r="18" spans="1:8" ht="13.5">
      <c r="A18" s="541"/>
      <c r="B18" s="541"/>
      <c r="C18" s="541"/>
      <c r="D18" s="541"/>
      <c r="E18" s="541"/>
      <c r="F18" s="541"/>
      <c r="G18" s="541"/>
      <c r="H18" s="541"/>
    </row>
    <row r="19" spans="1:8" ht="13.5">
      <c r="A19" s="541"/>
      <c r="B19" s="541"/>
      <c r="C19" s="541"/>
      <c r="D19" s="541"/>
      <c r="E19" s="541"/>
      <c r="F19" s="541"/>
      <c r="G19" s="541"/>
      <c r="H19" s="541"/>
    </row>
    <row r="20" spans="1:8" ht="13.5">
      <c r="A20" s="541"/>
      <c r="B20" s="541"/>
      <c r="C20" s="541"/>
      <c r="D20" s="541"/>
      <c r="E20" s="541"/>
      <c r="F20" s="541"/>
      <c r="G20" s="541"/>
      <c r="H20" s="541"/>
    </row>
  </sheetData>
  <sheetProtection/>
  <mergeCells count="5">
    <mergeCell ref="B3:D3"/>
    <mergeCell ref="C6:D6"/>
    <mergeCell ref="C10:D10"/>
    <mergeCell ref="C11:D11"/>
    <mergeCell ref="B4:D5"/>
  </mergeCell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V24"/>
  <sheetViews>
    <sheetView zoomScalePageLayoutView="0" workbookViewId="0" topLeftCell="A1">
      <selection activeCell="F22" sqref="F22"/>
    </sheetView>
  </sheetViews>
  <sheetFormatPr defaultColWidth="9.00390625" defaultRowHeight="13.5"/>
  <cols>
    <col min="1" max="1" width="3.375" style="7" customWidth="1"/>
    <col min="2" max="4" width="2.125" style="7" customWidth="1"/>
    <col min="5" max="5" width="15.50390625" style="7" customWidth="1"/>
    <col min="6" max="9" width="14.375" style="7" customWidth="1"/>
    <col min="10" max="10" width="18.50390625" style="7" bestFit="1" customWidth="1"/>
    <col min="11" max="11" width="12.75390625" style="7" hidden="1" customWidth="1"/>
    <col min="12" max="13" width="11.625" style="7" bestFit="1" customWidth="1"/>
    <col min="14" max="14" width="10.50390625" style="7" bestFit="1" customWidth="1"/>
    <col min="15" max="15" width="11.625" style="7" bestFit="1" customWidth="1"/>
    <col min="16" max="16" width="10.50390625" style="7" bestFit="1" customWidth="1"/>
    <col min="17" max="17" width="9.125" style="7" bestFit="1" customWidth="1"/>
    <col min="18" max="18" width="10.50390625" style="7" bestFit="1" customWidth="1"/>
    <col min="19" max="19" width="9.125" style="7" bestFit="1" customWidth="1"/>
    <col min="20" max="20" width="10.50390625" style="7" bestFit="1" customWidth="1"/>
    <col min="21" max="21" width="11.625" style="7" bestFit="1" customWidth="1"/>
    <col min="22" max="22" width="16.125" style="7" bestFit="1" customWidth="1"/>
    <col min="23" max="16384" width="9.00390625" style="7" customWidth="1"/>
  </cols>
  <sheetData>
    <row r="1" spans="1:10" ht="21" customHeight="1" thickBot="1">
      <c r="A1" s="919" t="s">
        <v>43</v>
      </c>
      <c r="B1" s="919"/>
      <c r="C1" s="919"/>
      <c r="D1" s="919"/>
      <c r="E1" s="919"/>
      <c r="F1" s="919"/>
      <c r="G1" s="919"/>
      <c r="J1" s="7" t="s">
        <v>299</v>
      </c>
    </row>
    <row r="2" spans="1:10" ht="27.75" customHeight="1" thickBot="1">
      <c r="A2" s="951" t="s">
        <v>44</v>
      </c>
      <c r="B2" s="952"/>
      <c r="C2" s="952"/>
      <c r="D2" s="952"/>
      <c r="E2" s="953"/>
      <c r="F2" s="14" t="s">
        <v>325</v>
      </c>
      <c r="G2" s="154" t="s">
        <v>327</v>
      </c>
      <c r="H2" s="14" t="s">
        <v>328</v>
      </c>
      <c r="I2" s="14" t="s">
        <v>330</v>
      </c>
      <c r="J2" s="139" t="s">
        <v>555</v>
      </c>
    </row>
    <row r="3" spans="1:11" ht="27.75" customHeight="1" thickTop="1">
      <c r="A3" s="954" t="s">
        <v>27</v>
      </c>
      <c r="B3" s="964" t="s">
        <v>28</v>
      </c>
      <c r="C3" s="964"/>
      <c r="D3" s="964"/>
      <c r="E3" s="964"/>
      <c r="F3" s="119">
        <v>193350335</v>
      </c>
      <c r="G3" s="176">
        <v>188476972</v>
      </c>
      <c r="H3" s="197">
        <v>191113147</v>
      </c>
      <c r="I3" s="197">
        <v>184853627</v>
      </c>
      <c r="J3" s="198">
        <f>J4+J8+J9</f>
        <v>185172618</v>
      </c>
      <c r="K3" s="252">
        <f>K4+K8+K9</f>
        <v>184853627</v>
      </c>
    </row>
    <row r="4" spans="1:22" ht="27.75" customHeight="1">
      <c r="A4" s="955"/>
      <c r="B4" s="960"/>
      <c r="C4" s="965" t="s">
        <v>45</v>
      </c>
      <c r="D4" s="965"/>
      <c r="E4" s="965"/>
      <c r="F4" s="156">
        <v>180387730</v>
      </c>
      <c r="G4" s="142">
        <v>177540955</v>
      </c>
      <c r="H4" s="142">
        <v>176880634</v>
      </c>
      <c r="I4" s="142">
        <v>177758089</v>
      </c>
      <c r="J4" s="199">
        <f>SUM(J5:J7)</f>
        <v>178292523</v>
      </c>
      <c r="K4" s="252">
        <f>SUM(K5:K7)</f>
        <v>177758089</v>
      </c>
      <c r="L4" s="252"/>
      <c r="M4" s="252"/>
      <c r="N4" s="252"/>
      <c r="O4" s="252"/>
      <c r="P4" s="252"/>
      <c r="Q4" s="252"/>
      <c r="R4" s="252"/>
      <c r="S4" s="252"/>
      <c r="T4" s="252"/>
      <c r="U4" s="252"/>
      <c r="V4" s="93"/>
    </row>
    <row r="5" spans="1:22" ht="27.75" customHeight="1">
      <c r="A5" s="955"/>
      <c r="B5" s="961"/>
      <c r="C5" s="960"/>
      <c r="D5" s="967" t="s">
        <v>46</v>
      </c>
      <c r="E5" s="967"/>
      <c r="F5" s="157">
        <v>21287446</v>
      </c>
      <c r="G5" s="143">
        <v>22453395</v>
      </c>
      <c r="H5" s="143">
        <v>22446104</v>
      </c>
      <c r="I5" s="143">
        <v>23908608</v>
      </c>
      <c r="J5" s="200">
        <f>'表２１－１'!I8</f>
        <v>21478629</v>
      </c>
      <c r="K5" s="252">
        <f>'表２１－１'!H8</f>
        <v>23908608</v>
      </c>
      <c r="L5" s="252"/>
      <c r="M5" s="252"/>
      <c r="N5" s="252"/>
      <c r="O5" s="252"/>
      <c r="P5" s="252"/>
      <c r="Q5" s="252"/>
      <c r="R5" s="252"/>
      <c r="S5" s="252"/>
      <c r="T5" s="252"/>
      <c r="U5" s="252"/>
      <c r="V5" s="252"/>
    </row>
    <row r="6" spans="1:22" ht="27.75" customHeight="1">
      <c r="A6" s="955"/>
      <c r="B6" s="961"/>
      <c r="C6" s="961"/>
      <c r="D6" s="967" t="s">
        <v>257</v>
      </c>
      <c r="E6" s="967"/>
      <c r="F6" s="157">
        <v>104557095</v>
      </c>
      <c r="G6" s="143">
        <v>102108655</v>
      </c>
      <c r="H6" s="143">
        <v>102491338</v>
      </c>
      <c r="I6" s="143">
        <v>101011268</v>
      </c>
      <c r="J6" s="200">
        <f>'表２１－１'!M8</f>
        <v>103449122</v>
      </c>
      <c r="K6" s="252">
        <f>'表２１－１'!L8</f>
        <v>101011268</v>
      </c>
      <c r="L6" s="252"/>
      <c r="M6" s="252"/>
      <c r="N6" s="252"/>
      <c r="O6" s="252"/>
      <c r="P6" s="252"/>
      <c r="Q6" s="252"/>
      <c r="R6" s="252"/>
      <c r="S6" s="252"/>
      <c r="T6" s="252"/>
      <c r="U6" s="252"/>
      <c r="V6" s="252"/>
    </row>
    <row r="7" spans="1:22" ht="27.75" customHeight="1">
      <c r="A7" s="955"/>
      <c r="B7" s="961"/>
      <c r="C7" s="966"/>
      <c r="D7" s="967" t="s">
        <v>47</v>
      </c>
      <c r="E7" s="967"/>
      <c r="F7" s="157">
        <v>54543189</v>
      </c>
      <c r="G7" s="143">
        <v>52978905</v>
      </c>
      <c r="H7" s="143">
        <v>51943192</v>
      </c>
      <c r="I7" s="143">
        <v>52838213</v>
      </c>
      <c r="J7" s="200">
        <f>'表２１－１'!Q8</f>
        <v>53364772</v>
      </c>
      <c r="K7" s="252">
        <f>'表２１－１'!P8</f>
        <v>52838213</v>
      </c>
      <c r="L7" s="252"/>
      <c r="M7" s="252"/>
      <c r="N7" s="252"/>
      <c r="O7" s="252"/>
      <c r="P7" s="252"/>
      <c r="Q7" s="252"/>
      <c r="R7" s="252"/>
      <c r="S7" s="252"/>
      <c r="T7" s="252"/>
      <c r="U7" s="252"/>
      <c r="V7" s="252"/>
    </row>
    <row r="8" spans="1:22" ht="27.75" customHeight="1">
      <c r="A8" s="955"/>
      <c r="B8" s="961"/>
      <c r="C8" s="968" t="s">
        <v>48</v>
      </c>
      <c r="D8" s="968"/>
      <c r="E8" s="968"/>
      <c r="F8" s="158">
        <v>12898400</v>
      </c>
      <c r="G8" s="144">
        <v>10901564</v>
      </c>
      <c r="H8" s="144">
        <v>14185828</v>
      </c>
      <c r="I8" s="144">
        <v>7070550</v>
      </c>
      <c r="J8" s="201">
        <f>'表２１－１'!U8</f>
        <v>6845300</v>
      </c>
      <c r="K8" s="252">
        <f>'表２１－１'!T8</f>
        <v>7070550</v>
      </c>
      <c r="L8" s="252"/>
      <c r="M8" s="252"/>
      <c r="N8" s="252"/>
      <c r="O8" s="252"/>
      <c r="P8" s="252"/>
      <c r="Q8" s="252"/>
      <c r="R8" s="252"/>
      <c r="S8" s="252"/>
      <c r="T8" s="252"/>
      <c r="U8" s="252"/>
      <c r="V8" s="252"/>
    </row>
    <row r="9" spans="1:11" ht="27.75" customHeight="1">
      <c r="A9" s="955"/>
      <c r="B9" s="961"/>
      <c r="C9" s="969" t="s">
        <v>49</v>
      </c>
      <c r="D9" s="969"/>
      <c r="E9" s="969"/>
      <c r="F9" s="159">
        <v>64205</v>
      </c>
      <c r="G9" s="145">
        <v>34453</v>
      </c>
      <c r="H9" s="145">
        <v>46685</v>
      </c>
      <c r="I9" s="145">
        <v>24988</v>
      </c>
      <c r="J9" s="202">
        <f>SUM(J10:J11)</f>
        <v>34795</v>
      </c>
      <c r="K9" s="93">
        <f>SUM(K10:K11)</f>
        <v>24988</v>
      </c>
    </row>
    <row r="10" spans="1:22" ht="27.75" customHeight="1">
      <c r="A10" s="955"/>
      <c r="B10" s="961"/>
      <c r="C10" s="960"/>
      <c r="D10" s="963" t="s">
        <v>256</v>
      </c>
      <c r="E10" s="963"/>
      <c r="F10" s="157">
        <v>42274</v>
      </c>
      <c r="G10" s="143">
        <v>12385</v>
      </c>
      <c r="H10" s="143">
        <v>19027</v>
      </c>
      <c r="I10" s="143">
        <v>800</v>
      </c>
      <c r="J10" s="200">
        <f>'表２１－１'!Y8</f>
        <v>22390</v>
      </c>
      <c r="K10" s="252">
        <f>'表２１－１'!X8</f>
        <v>800</v>
      </c>
      <c r="L10" s="252"/>
      <c r="M10" s="252"/>
      <c r="N10" s="252"/>
      <c r="O10" s="252"/>
      <c r="P10" s="252"/>
      <c r="Q10" s="252"/>
      <c r="R10" s="252"/>
      <c r="S10" s="252"/>
      <c r="T10" s="252"/>
      <c r="U10" s="252"/>
      <c r="V10" s="252"/>
    </row>
    <row r="11" spans="1:11" ht="27.75" customHeight="1">
      <c r="A11" s="955"/>
      <c r="B11" s="961"/>
      <c r="C11" s="961"/>
      <c r="D11" s="971" t="s">
        <v>50</v>
      </c>
      <c r="E11" s="972"/>
      <c r="F11" s="157">
        <v>21931</v>
      </c>
      <c r="G11" s="143">
        <v>22068</v>
      </c>
      <c r="H11" s="143">
        <v>27658</v>
      </c>
      <c r="I11" s="143">
        <v>24188</v>
      </c>
      <c r="J11" s="200">
        <f>J12</f>
        <v>12405</v>
      </c>
      <c r="K11" s="463">
        <f>K12</f>
        <v>24188</v>
      </c>
    </row>
    <row r="12" spans="1:11" ht="27.75" customHeight="1" thickBot="1">
      <c r="A12" s="956"/>
      <c r="B12" s="970"/>
      <c r="C12" s="970"/>
      <c r="D12" s="365"/>
      <c r="E12" s="12" t="s">
        <v>51</v>
      </c>
      <c r="F12" s="160">
        <v>21931</v>
      </c>
      <c r="G12" s="146">
        <v>22068</v>
      </c>
      <c r="H12" s="146">
        <v>27658</v>
      </c>
      <c r="I12" s="146">
        <v>24188</v>
      </c>
      <c r="J12" s="203">
        <f>'表２１－１'!E45</f>
        <v>12405</v>
      </c>
      <c r="K12" s="463">
        <f>'表２１－１'!D45</f>
        <v>24188</v>
      </c>
    </row>
    <row r="13" spans="1:10" ht="27.75" customHeight="1" thickTop="1">
      <c r="A13" s="937" t="s">
        <v>52</v>
      </c>
      <c r="B13" s="964" t="s">
        <v>28</v>
      </c>
      <c r="C13" s="964"/>
      <c r="D13" s="964"/>
      <c r="E13" s="964"/>
      <c r="F13" s="187">
        <v>100</v>
      </c>
      <c r="G13" s="204">
        <f aca="true" t="shared" si="0" ref="G13:G19">G3/F3*100</f>
        <v>97.47951665043662</v>
      </c>
      <c r="H13" s="187">
        <f>H3/F3*100</f>
        <v>98.84293554495264</v>
      </c>
      <c r="I13" s="204">
        <f>I3/F3*100</f>
        <v>95.60553748200125</v>
      </c>
      <c r="J13" s="205">
        <f>J3/F3*100</f>
        <v>95.77051831847098</v>
      </c>
    </row>
    <row r="14" spans="1:10" ht="27.75" customHeight="1">
      <c r="A14" s="938"/>
      <c r="B14" s="960"/>
      <c r="C14" s="965" t="s">
        <v>45</v>
      </c>
      <c r="D14" s="965"/>
      <c r="E14" s="965"/>
      <c r="F14" s="187">
        <v>100</v>
      </c>
      <c r="G14" s="204">
        <f t="shared" si="0"/>
        <v>98.42185773943716</v>
      </c>
      <c r="H14" s="187">
        <f aca="true" t="shared" si="1" ref="H14:H20">H4/F4*100</f>
        <v>98.05580124546165</v>
      </c>
      <c r="I14" s="204">
        <f aca="true" t="shared" si="2" ref="I14:I20">I4/F4*100</f>
        <v>98.54222845423023</v>
      </c>
      <c r="J14" s="205">
        <f aca="true" t="shared" si="3" ref="J14:J20">J4/F4*100</f>
        <v>98.8384980508375</v>
      </c>
    </row>
    <row r="15" spans="1:10" ht="27.75" customHeight="1">
      <c r="A15" s="938"/>
      <c r="B15" s="961"/>
      <c r="C15" s="960"/>
      <c r="D15" s="967" t="s">
        <v>46</v>
      </c>
      <c r="E15" s="967"/>
      <c r="F15" s="187">
        <v>100</v>
      </c>
      <c r="G15" s="204">
        <f t="shared" si="0"/>
        <v>105.47716715288438</v>
      </c>
      <c r="H15" s="187">
        <f t="shared" si="1"/>
        <v>105.44291691920205</v>
      </c>
      <c r="I15" s="204">
        <f t="shared" si="2"/>
        <v>112.31318214500696</v>
      </c>
      <c r="J15" s="205">
        <f t="shared" si="3"/>
        <v>100.89810210205583</v>
      </c>
    </row>
    <row r="16" spans="1:10" ht="27.75" customHeight="1">
      <c r="A16" s="938"/>
      <c r="B16" s="961"/>
      <c r="C16" s="961"/>
      <c r="D16" s="967" t="s">
        <v>257</v>
      </c>
      <c r="E16" s="967"/>
      <c r="F16" s="187">
        <v>100</v>
      </c>
      <c r="G16" s="204">
        <f t="shared" si="0"/>
        <v>97.6582746488892</v>
      </c>
      <c r="H16" s="187">
        <f t="shared" si="1"/>
        <v>98.02427850544241</v>
      </c>
      <c r="I16" s="204">
        <f t="shared" si="2"/>
        <v>96.60871698855061</v>
      </c>
      <c r="J16" s="205">
        <f t="shared" si="3"/>
        <v>98.94031772784047</v>
      </c>
    </row>
    <row r="17" spans="1:10" ht="27.75" customHeight="1">
      <c r="A17" s="938"/>
      <c r="B17" s="961"/>
      <c r="C17" s="966"/>
      <c r="D17" s="967" t="s">
        <v>47</v>
      </c>
      <c r="E17" s="967"/>
      <c r="F17" s="187">
        <v>100</v>
      </c>
      <c r="G17" s="204">
        <f t="shared" si="0"/>
        <v>97.13202687873641</v>
      </c>
      <c r="H17" s="187">
        <f t="shared" si="1"/>
        <v>95.2331408418382</v>
      </c>
      <c r="I17" s="204">
        <f t="shared" si="2"/>
        <v>96.87408083161401</v>
      </c>
      <c r="J17" s="205">
        <f t="shared" si="3"/>
        <v>97.83947909609759</v>
      </c>
    </row>
    <row r="18" spans="1:10" ht="27.75" customHeight="1">
      <c r="A18" s="938"/>
      <c r="B18" s="961"/>
      <c r="C18" s="968" t="s">
        <v>53</v>
      </c>
      <c r="D18" s="968"/>
      <c r="E18" s="968"/>
      <c r="F18" s="187">
        <v>100</v>
      </c>
      <c r="G18" s="204">
        <f t="shared" si="0"/>
        <v>84.51873100539602</v>
      </c>
      <c r="H18" s="187">
        <f t="shared" si="1"/>
        <v>109.98130000620232</v>
      </c>
      <c r="I18" s="204">
        <f t="shared" si="2"/>
        <v>54.81726415679464</v>
      </c>
      <c r="J18" s="205">
        <f t="shared" si="3"/>
        <v>53.07092352539849</v>
      </c>
    </row>
    <row r="19" spans="1:10" ht="27.75" customHeight="1">
      <c r="A19" s="938"/>
      <c r="B19" s="961"/>
      <c r="C19" s="969" t="s">
        <v>54</v>
      </c>
      <c r="D19" s="969"/>
      <c r="E19" s="969"/>
      <c r="F19" s="187">
        <v>100</v>
      </c>
      <c r="G19" s="204">
        <f t="shared" si="0"/>
        <v>53.66092983412507</v>
      </c>
      <c r="H19" s="187">
        <f t="shared" si="1"/>
        <v>72.71240557588973</v>
      </c>
      <c r="I19" s="204">
        <f t="shared" si="2"/>
        <v>38.919087298497004</v>
      </c>
      <c r="J19" s="192">
        <f t="shared" si="3"/>
        <v>54.19359862939024</v>
      </c>
    </row>
    <row r="20" spans="1:10" ht="27.75" customHeight="1">
      <c r="A20" s="938"/>
      <c r="B20" s="961"/>
      <c r="C20" s="960"/>
      <c r="D20" s="963" t="s">
        <v>256</v>
      </c>
      <c r="E20" s="963"/>
      <c r="F20" s="187">
        <v>100</v>
      </c>
      <c r="G20" s="204">
        <f>G10/F10*100</f>
        <v>29.296967403131944</v>
      </c>
      <c r="H20" s="187">
        <f t="shared" si="1"/>
        <v>45.008752424658184</v>
      </c>
      <c r="I20" s="204">
        <f t="shared" si="2"/>
        <v>1.8924161423096937</v>
      </c>
      <c r="J20" s="205">
        <f t="shared" si="3"/>
        <v>52.96399678289255</v>
      </c>
    </row>
    <row r="21" spans="1:10" ht="27.75" customHeight="1">
      <c r="A21" s="938"/>
      <c r="B21" s="961"/>
      <c r="C21" s="961"/>
      <c r="D21" s="963" t="s">
        <v>50</v>
      </c>
      <c r="E21" s="963"/>
      <c r="F21" s="187">
        <v>100</v>
      </c>
      <c r="G21" s="366" t="s">
        <v>296</v>
      </c>
      <c r="H21" s="366" t="s">
        <v>296</v>
      </c>
      <c r="I21" s="366" t="s">
        <v>296</v>
      </c>
      <c r="J21" s="368" t="s">
        <v>296</v>
      </c>
    </row>
    <row r="22" spans="1:10" ht="27.75" customHeight="1" thickBot="1">
      <c r="A22" s="939"/>
      <c r="B22" s="962"/>
      <c r="C22" s="962"/>
      <c r="D22" s="364"/>
      <c r="E22" s="13" t="s">
        <v>51</v>
      </c>
      <c r="F22" s="206">
        <v>100</v>
      </c>
      <c r="G22" s="367" t="s">
        <v>297</v>
      </c>
      <c r="H22" s="367" t="s">
        <v>297</v>
      </c>
      <c r="I22" s="367" t="s">
        <v>297</v>
      </c>
      <c r="J22" s="369" t="s">
        <v>296</v>
      </c>
    </row>
    <row r="24" ht="13.5">
      <c r="B24" s="7" t="s">
        <v>277</v>
      </c>
    </row>
  </sheetData>
  <sheetProtection/>
  <mergeCells count="28">
    <mergeCell ref="A1:G1"/>
    <mergeCell ref="A2:E2"/>
    <mergeCell ref="A3:A12"/>
    <mergeCell ref="B3:E3"/>
    <mergeCell ref="B4:B12"/>
    <mergeCell ref="C4:E4"/>
    <mergeCell ref="C5:C7"/>
    <mergeCell ref="D5:E5"/>
    <mergeCell ref="D6:E6"/>
    <mergeCell ref="D7:E7"/>
    <mergeCell ref="D17:E17"/>
    <mergeCell ref="C18:E18"/>
    <mergeCell ref="C19:E19"/>
    <mergeCell ref="C8:E8"/>
    <mergeCell ref="C9:E9"/>
    <mergeCell ref="C10:C12"/>
    <mergeCell ref="D10:E10"/>
    <mergeCell ref="D11:E11"/>
    <mergeCell ref="C20:C22"/>
    <mergeCell ref="D20:E20"/>
    <mergeCell ref="D21:E21"/>
    <mergeCell ref="A13:A22"/>
    <mergeCell ref="B13:E13"/>
    <mergeCell ref="B14:B22"/>
    <mergeCell ref="C14:E14"/>
    <mergeCell ref="C15:C17"/>
    <mergeCell ref="D15:E15"/>
    <mergeCell ref="D16:E16"/>
  </mergeCells>
  <printOptions/>
  <pageMargins left="0.7874015748031497" right="0.33" top="0.984251968503937" bottom="0.984251968503937" header="0.5118110236220472" footer="0.5118110236220472"/>
  <pageSetup horizontalDpi="300" verticalDpi="300" orientation="portrait" paperSize="9" scale="91" r:id="rId1"/>
  <colBreaks count="1" manualBreakCount="1">
    <brk id="10" max="23" man="1"/>
  </colBreaks>
</worksheet>
</file>

<file path=xl/worksheets/sheet30.xml><?xml version="1.0" encoding="utf-8"?>
<worksheet xmlns="http://schemas.openxmlformats.org/spreadsheetml/2006/main" xmlns:r="http://schemas.openxmlformats.org/officeDocument/2006/relationships">
  <sheetPr>
    <tabColor rgb="FFFF0000"/>
  </sheetPr>
  <dimension ref="A1:G3"/>
  <sheetViews>
    <sheetView showGridLines="0" zoomScalePageLayoutView="0" workbookViewId="0" topLeftCell="A1">
      <selection activeCell="H11" sqref="H11"/>
    </sheetView>
  </sheetViews>
  <sheetFormatPr defaultColWidth="9.00390625" defaultRowHeight="13.5"/>
  <sheetData>
    <row r="1" spans="2:6" ht="13.5">
      <c r="B1" s="501" t="s">
        <v>382</v>
      </c>
      <c r="C1" s="501" t="s">
        <v>47</v>
      </c>
      <c r="D1" s="501" t="s">
        <v>46</v>
      </c>
      <c r="E1" s="501" t="s">
        <v>94</v>
      </c>
      <c r="F1" s="501" t="s">
        <v>389</v>
      </c>
    </row>
    <row r="2" spans="1:7" ht="13.5">
      <c r="A2" s="481" t="s">
        <v>390</v>
      </c>
      <c r="B2" s="502">
        <f>'第３表'!F8</f>
        <v>55.9</v>
      </c>
      <c r="C2" s="502">
        <f>'第３表'!F9</f>
        <v>28.8</v>
      </c>
      <c r="D2" s="502">
        <f>'第３表'!F7</f>
        <v>11.6</v>
      </c>
      <c r="E2" s="502">
        <f>'第３表'!F10</f>
        <v>3.7</v>
      </c>
      <c r="F2" s="502">
        <f>'第３表'!F11</f>
        <v>0</v>
      </c>
      <c r="G2" s="503"/>
    </row>
    <row r="3" ht="13.5">
      <c r="G3" s="503"/>
    </row>
  </sheetData>
  <sheetProtection/>
  <printOptions/>
  <pageMargins left="0.7" right="0.7" top="0.75" bottom="0.75" header="0.3" footer="0.3"/>
  <pageSetup orientation="portrait" paperSize="9" r:id="rId2"/>
  <drawing r:id="rId1"/>
</worksheet>
</file>

<file path=xl/worksheets/sheet31.xml><?xml version="1.0" encoding="utf-8"?>
<worksheet xmlns="http://schemas.openxmlformats.org/spreadsheetml/2006/main" xmlns:r="http://schemas.openxmlformats.org/officeDocument/2006/relationships">
  <sheetPr>
    <tabColor rgb="FFFF0000"/>
  </sheetPr>
  <dimension ref="A1:R47"/>
  <sheetViews>
    <sheetView showGridLines="0" zoomScale="66" zoomScaleNormal="66" zoomScalePageLayoutView="0" workbookViewId="0" topLeftCell="A1">
      <selection activeCell="H11" sqref="H11"/>
    </sheetView>
  </sheetViews>
  <sheetFormatPr defaultColWidth="9.00390625" defaultRowHeight="13.5"/>
  <cols>
    <col min="2" max="2" width="2.625" style="0" customWidth="1"/>
    <col min="3" max="3" width="24.75390625" style="0" customWidth="1"/>
    <col min="4" max="17" width="7.25390625" style="0" customWidth="1"/>
    <col min="18" max="18" width="10.875" style="0" bestFit="1" customWidth="1"/>
  </cols>
  <sheetData>
    <row r="1" spans="1:18" ht="13.5">
      <c r="A1" s="541"/>
      <c r="B1" s="857" t="s">
        <v>396</v>
      </c>
      <c r="C1" s="853"/>
      <c r="D1" s="853"/>
      <c r="E1" s="853"/>
      <c r="F1" s="853"/>
      <c r="G1" s="853"/>
      <c r="H1" s="853"/>
      <c r="I1" s="853"/>
      <c r="J1" s="853"/>
      <c r="K1" s="853"/>
      <c r="L1" s="853"/>
      <c r="M1" s="853"/>
      <c r="N1" s="853"/>
      <c r="O1" s="853"/>
      <c r="P1" s="853"/>
      <c r="Q1" s="853"/>
      <c r="R1" s="541"/>
    </row>
    <row r="2" spans="1:18" ht="14.25" thickBot="1">
      <c r="A2" s="541"/>
      <c r="B2" s="858"/>
      <c r="C2" s="859"/>
      <c r="D2" s="859"/>
      <c r="E2" s="859"/>
      <c r="F2" s="859"/>
      <c r="G2" s="859"/>
      <c r="H2" s="859"/>
      <c r="I2" s="859"/>
      <c r="J2" s="859"/>
      <c r="K2" s="859"/>
      <c r="L2" s="859"/>
      <c r="M2" s="859"/>
      <c r="N2" s="859"/>
      <c r="O2" s="859"/>
      <c r="P2" s="859"/>
      <c r="Q2" s="859"/>
      <c r="R2" s="541"/>
    </row>
    <row r="3" spans="1:18" ht="14.25" thickTop="1">
      <c r="A3" s="541"/>
      <c r="B3" s="838"/>
      <c r="C3" s="839" t="s">
        <v>520</v>
      </c>
      <c r="D3" s="1280" t="s">
        <v>37</v>
      </c>
      <c r="E3" s="1283" t="s">
        <v>360</v>
      </c>
      <c r="F3" s="1284"/>
      <c r="G3" s="1284"/>
      <c r="H3" s="1284"/>
      <c r="I3" s="1284"/>
      <c r="J3" s="1284"/>
      <c r="K3" s="1284"/>
      <c r="L3" s="1284"/>
      <c r="M3" s="1284"/>
      <c r="N3" s="1284"/>
      <c r="O3" s="1285"/>
      <c r="P3" s="1286" t="s">
        <v>401</v>
      </c>
      <c r="Q3" s="1263" t="s">
        <v>402</v>
      </c>
      <c r="R3" s="541"/>
    </row>
    <row r="4" spans="1:18" ht="20.25" customHeight="1">
      <c r="A4" s="853"/>
      <c r="B4" s="739"/>
      <c r="C4" s="740"/>
      <c r="D4" s="1281"/>
      <c r="E4" s="1266" t="s">
        <v>63</v>
      </c>
      <c r="F4" s="1266" t="s">
        <v>30</v>
      </c>
      <c r="G4" s="1266" t="s">
        <v>31</v>
      </c>
      <c r="H4" s="1266" t="s">
        <v>32</v>
      </c>
      <c r="I4" s="1266" t="s">
        <v>243</v>
      </c>
      <c r="J4" s="1268" t="s">
        <v>33</v>
      </c>
      <c r="K4" s="1269"/>
      <c r="L4" s="1270"/>
      <c r="M4" s="1271" t="s">
        <v>374</v>
      </c>
      <c r="N4" s="1273" t="s">
        <v>403</v>
      </c>
      <c r="O4" s="1274" t="s">
        <v>375</v>
      </c>
      <c r="P4" s="1287"/>
      <c r="Q4" s="1264"/>
      <c r="R4" s="852" t="s">
        <v>515</v>
      </c>
    </row>
    <row r="5" spans="1:18" ht="27" customHeight="1" thickBot="1">
      <c r="A5" s="541"/>
      <c r="B5" s="741" t="s">
        <v>519</v>
      </c>
      <c r="C5" s="742"/>
      <c r="D5" s="1282"/>
      <c r="E5" s="1267"/>
      <c r="F5" s="1267"/>
      <c r="G5" s="1267"/>
      <c r="H5" s="1267"/>
      <c r="I5" s="1267"/>
      <c r="J5" s="833" t="s">
        <v>404</v>
      </c>
      <c r="K5" s="833" t="s">
        <v>405</v>
      </c>
      <c r="L5" s="833" t="s">
        <v>406</v>
      </c>
      <c r="M5" s="1272"/>
      <c r="N5" s="1267"/>
      <c r="O5" s="1275"/>
      <c r="P5" s="1288"/>
      <c r="Q5" s="1265"/>
      <c r="R5" s="860"/>
    </row>
    <row r="6" spans="1:18" ht="19.5" customHeight="1">
      <c r="A6" s="541"/>
      <c r="B6" s="1289" t="s">
        <v>398</v>
      </c>
      <c r="C6" s="1290"/>
      <c r="D6" s="744" t="s">
        <v>363</v>
      </c>
      <c r="E6" s="744" t="s">
        <v>363</v>
      </c>
      <c r="F6" s="744" t="s">
        <v>363</v>
      </c>
      <c r="G6" s="744" t="s">
        <v>363</v>
      </c>
      <c r="H6" s="744" t="s">
        <v>363</v>
      </c>
      <c r="I6" s="744" t="s">
        <v>363</v>
      </c>
      <c r="J6" s="744" t="s">
        <v>363</v>
      </c>
      <c r="K6" s="744" t="s">
        <v>363</v>
      </c>
      <c r="L6" s="744" t="s">
        <v>363</v>
      </c>
      <c r="M6" s="744" t="s">
        <v>363</v>
      </c>
      <c r="N6" s="744" t="s">
        <v>363</v>
      </c>
      <c r="O6" s="745" t="s">
        <v>363</v>
      </c>
      <c r="P6" s="744" t="s">
        <v>363</v>
      </c>
      <c r="Q6" s="746" t="s">
        <v>363</v>
      </c>
      <c r="R6" s="853"/>
    </row>
    <row r="7" spans="1:18" ht="19.5" customHeight="1">
      <c r="A7" s="541"/>
      <c r="B7" s="1291"/>
      <c r="C7" s="1292"/>
      <c r="D7" s="747">
        <f>SUM(D8,D12:D13)</f>
        <v>100</v>
      </c>
      <c r="E7" s="747">
        <f aca="true" t="shared" si="0" ref="E7:Q7">SUM(E8,E12:E13)</f>
        <v>100</v>
      </c>
      <c r="F7" s="747">
        <f t="shared" si="0"/>
        <v>100</v>
      </c>
      <c r="G7" s="747">
        <f t="shared" si="0"/>
        <v>100</v>
      </c>
      <c r="H7" s="747">
        <f t="shared" si="0"/>
        <v>100</v>
      </c>
      <c r="I7" s="747">
        <f t="shared" si="0"/>
        <v>100</v>
      </c>
      <c r="J7" s="747">
        <f t="shared" si="0"/>
        <v>100</v>
      </c>
      <c r="K7" s="747">
        <f t="shared" si="0"/>
        <v>100</v>
      </c>
      <c r="L7" s="747">
        <f t="shared" si="0"/>
        <v>100</v>
      </c>
      <c r="M7" s="747">
        <f t="shared" si="0"/>
        <v>100</v>
      </c>
      <c r="N7" s="747">
        <f t="shared" si="0"/>
        <v>100</v>
      </c>
      <c r="O7" s="747">
        <f t="shared" si="0"/>
        <v>100</v>
      </c>
      <c r="P7" s="747">
        <f t="shared" si="0"/>
        <v>100</v>
      </c>
      <c r="Q7" s="748">
        <f t="shared" si="0"/>
        <v>99.99999999999999</v>
      </c>
      <c r="R7" s="853"/>
    </row>
    <row r="8" spans="1:18" ht="19.5" customHeight="1">
      <c r="A8" s="853"/>
      <c r="B8" s="1293" t="s">
        <v>45</v>
      </c>
      <c r="C8" s="1294"/>
      <c r="D8" s="749">
        <f>SUM(D9:D11)</f>
        <v>96.3</v>
      </c>
      <c r="E8" s="749">
        <f aca="true" t="shared" si="1" ref="E8:Q8">SUM(E9:E11)</f>
        <v>96.3</v>
      </c>
      <c r="F8" s="749">
        <f t="shared" si="1"/>
        <v>100</v>
      </c>
      <c r="G8" s="749">
        <f t="shared" si="1"/>
        <v>95</v>
      </c>
      <c r="H8" s="749">
        <f t="shared" si="1"/>
        <v>96.3</v>
      </c>
      <c r="I8" s="749">
        <f t="shared" si="1"/>
        <v>99.5</v>
      </c>
      <c r="J8" s="749">
        <f t="shared" si="1"/>
        <v>97.4</v>
      </c>
      <c r="K8" s="749">
        <f t="shared" si="1"/>
        <v>100</v>
      </c>
      <c r="L8" s="749">
        <f t="shared" si="1"/>
        <v>100</v>
      </c>
      <c r="M8" s="749">
        <f t="shared" si="1"/>
        <v>100</v>
      </c>
      <c r="N8" s="749">
        <f t="shared" si="1"/>
        <v>100</v>
      </c>
      <c r="O8" s="749">
        <f t="shared" si="1"/>
        <v>100</v>
      </c>
      <c r="P8" s="749">
        <f t="shared" si="1"/>
        <v>94.2</v>
      </c>
      <c r="Q8" s="750">
        <f t="shared" si="1"/>
        <v>98.8</v>
      </c>
      <c r="R8" s="853"/>
    </row>
    <row r="9" spans="1:18" ht="19.5" customHeight="1">
      <c r="A9" s="853"/>
      <c r="B9" s="751"/>
      <c r="C9" s="10" t="s">
        <v>46</v>
      </c>
      <c r="D9" s="752">
        <f aca="true" t="shared" si="2" ref="D9:Q9">D25</f>
        <v>11.6</v>
      </c>
      <c r="E9" s="753">
        <f t="shared" si="2"/>
        <v>13.4</v>
      </c>
      <c r="F9" s="753">
        <f t="shared" si="2"/>
        <v>0.8</v>
      </c>
      <c r="G9" s="753">
        <f t="shared" si="2"/>
        <v>17.8</v>
      </c>
      <c r="H9" s="753">
        <f t="shared" si="2"/>
        <v>17.2</v>
      </c>
      <c r="I9" s="753">
        <f t="shared" si="2"/>
        <v>14.3</v>
      </c>
      <c r="J9" s="753">
        <f t="shared" si="2"/>
        <v>2</v>
      </c>
      <c r="K9" s="753">
        <f t="shared" si="2"/>
        <v>0.4</v>
      </c>
      <c r="L9" s="753">
        <f t="shared" si="2"/>
        <v>0.8</v>
      </c>
      <c r="M9" s="753">
        <f t="shared" si="2"/>
        <v>7.3</v>
      </c>
      <c r="N9" s="753">
        <f t="shared" si="2"/>
        <v>5.3</v>
      </c>
      <c r="O9" s="753">
        <f t="shared" si="2"/>
        <v>0.2</v>
      </c>
      <c r="P9" s="753">
        <f t="shared" si="2"/>
        <v>3</v>
      </c>
      <c r="Q9" s="754">
        <f t="shared" si="2"/>
        <v>0.9</v>
      </c>
      <c r="R9" s="853"/>
    </row>
    <row r="10" spans="1:18" ht="19.5" customHeight="1">
      <c r="A10" s="853"/>
      <c r="B10" s="755"/>
      <c r="C10" s="10" t="s">
        <v>382</v>
      </c>
      <c r="D10" s="753">
        <f aca="true" t="shared" si="3" ref="D10:Q10">D26</f>
        <v>55.9</v>
      </c>
      <c r="E10" s="753">
        <f t="shared" si="3"/>
        <v>62.1</v>
      </c>
      <c r="F10" s="753">
        <f t="shared" si="3"/>
        <v>0.2</v>
      </c>
      <c r="G10" s="753">
        <f t="shared" si="3"/>
        <v>48.5</v>
      </c>
      <c r="H10" s="753">
        <f t="shared" si="3"/>
        <v>52.800000000000004</v>
      </c>
      <c r="I10" s="753">
        <f t="shared" si="3"/>
        <v>85.2</v>
      </c>
      <c r="J10" s="753">
        <f t="shared" si="3"/>
        <v>95.4</v>
      </c>
      <c r="K10" s="753">
        <f t="shared" si="3"/>
        <v>99.6</v>
      </c>
      <c r="L10" s="753">
        <f t="shared" si="3"/>
        <v>99.2</v>
      </c>
      <c r="M10" s="753">
        <f t="shared" si="3"/>
        <v>92.7</v>
      </c>
      <c r="N10" s="753">
        <f t="shared" si="3"/>
        <v>94.7</v>
      </c>
      <c r="O10" s="753">
        <f t="shared" si="3"/>
        <v>0.1</v>
      </c>
      <c r="P10" s="753">
        <f t="shared" si="3"/>
        <v>11</v>
      </c>
      <c r="Q10" s="754">
        <f t="shared" si="3"/>
        <v>39.6</v>
      </c>
      <c r="R10" s="853"/>
    </row>
    <row r="11" spans="1:18" ht="19.5" customHeight="1">
      <c r="A11" s="853"/>
      <c r="B11" s="756"/>
      <c r="C11" s="10" t="s">
        <v>549</v>
      </c>
      <c r="D11" s="753">
        <f aca="true" t="shared" si="4" ref="D11:Q11">D27</f>
        <v>28.8</v>
      </c>
      <c r="E11" s="752">
        <f t="shared" si="4"/>
        <v>20.8</v>
      </c>
      <c r="F11" s="752">
        <f t="shared" si="4"/>
        <v>99</v>
      </c>
      <c r="G11" s="752">
        <f t="shared" si="4"/>
        <v>28.7</v>
      </c>
      <c r="H11" s="752">
        <f t="shared" si="4"/>
        <v>26.3</v>
      </c>
      <c r="I11" s="752">
        <f t="shared" si="4"/>
        <v>0</v>
      </c>
      <c r="J11" s="752">
        <f t="shared" si="4"/>
        <v>0</v>
      </c>
      <c r="K11" s="752">
        <f t="shared" si="4"/>
        <v>0</v>
      </c>
      <c r="L11" s="752">
        <f t="shared" si="4"/>
        <v>0</v>
      </c>
      <c r="M11" s="752">
        <f t="shared" si="4"/>
        <v>0</v>
      </c>
      <c r="N11" s="752">
        <f t="shared" si="4"/>
        <v>0</v>
      </c>
      <c r="O11" s="752">
        <f t="shared" si="4"/>
        <v>99.7</v>
      </c>
      <c r="P11" s="752">
        <f t="shared" si="4"/>
        <v>80.2</v>
      </c>
      <c r="Q11" s="757">
        <f t="shared" si="4"/>
        <v>58.3</v>
      </c>
      <c r="R11" s="853"/>
    </row>
    <row r="12" spans="1:18" ht="19.5" customHeight="1">
      <c r="A12" s="853"/>
      <c r="B12" s="1295" t="s">
        <v>48</v>
      </c>
      <c r="C12" s="1296"/>
      <c r="D12" s="749">
        <f aca="true" t="shared" si="5" ref="D12:Q12">D28</f>
        <v>3.7</v>
      </c>
      <c r="E12" s="749">
        <f t="shared" si="5"/>
        <v>3.7</v>
      </c>
      <c r="F12" s="749">
        <f t="shared" si="5"/>
        <v>0</v>
      </c>
      <c r="G12" s="749">
        <f t="shared" si="5"/>
        <v>5</v>
      </c>
      <c r="H12" s="749">
        <f t="shared" si="5"/>
        <v>3.7</v>
      </c>
      <c r="I12" s="749">
        <f t="shared" si="5"/>
        <v>0.5</v>
      </c>
      <c r="J12" s="749">
        <f t="shared" si="5"/>
        <v>2.6</v>
      </c>
      <c r="K12" s="749">
        <f t="shared" si="5"/>
        <v>0</v>
      </c>
      <c r="L12" s="749">
        <f t="shared" si="5"/>
        <v>0</v>
      </c>
      <c r="M12" s="749">
        <f t="shared" si="5"/>
        <v>0</v>
      </c>
      <c r="N12" s="749">
        <f t="shared" si="5"/>
        <v>0</v>
      </c>
      <c r="O12" s="749">
        <f t="shared" si="5"/>
        <v>0</v>
      </c>
      <c r="P12" s="749">
        <f t="shared" si="5"/>
        <v>5.7</v>
      </c>
      <c r="Q12" s="750">
        <f t="shared" si="5"/>
        <v>1.1</v>
      </c>
      <c r="R12" s="853"/>
    </row>
    <row r="13" spans="1:18" ht="19.5" customHeight="1">
      <c r="A13" s="853"/>
      <c r="B13" s="1295" t="s">
        <v>385</v>
      </c>
      <c r="C13" s="1296"/>
      <c r="D13" s="749">
        <f aca="true" t="shared" si="6" ref="D13:Q13">D29</f>
        <v>0</v>
      </c>
      <c r="E13" s="758">
        <f t="shared" si="6"/>
        <v>0</v>
      </c>
      <c r="F13" s="758">
        <f t="shared" si="6"/>
        <v>0</v>
      </c>
      <c r="G13" s="758">
        <f t="shared" si="6"/>
        <v>0</v>
      </c>
      <c r="H13" s="758">
        <f t="shared" si="6"/>
        <v>0</v>
      </c>
      <c r="I13" s="758">
        <f t="shared" si="6"/>
        <v>0</v>
      </c>
      <c r="J13" s="758">
        <f t="shared" si="6"/>
        <v>0</v>
      </c>
      <c r="K13" s="758">
        <f t="shared" si="6"/>
        <v>0</v>
      </c>
      <c r="L13" s="758">
        <f t="shared" si="6"/>
        <v>0</v>
      </c>
      <c r="M13" s="758">
        <f t="shared" si="6"/>
        <v>0</v>
      </c>
      <c r="N13" s="758">
        <f t="shared" si="6"/>
        <v>0</v>
      </c>
      <c r="O13" s="758">
        <f t="shared" si="6"/>
        <v>0</v>
      </c>
      <c r="P13" s="758">
        <f t="shared" si="6"/>
        <v>0.1</v>
      </c>
      <c r="Q13" s="759">
        <f t="shared" si="6"/>
        <v>0.1</v>
      </c>
      <c r="R13" s="853"/>
    </row>
    <row r="14" spans="1:18" ht="19.5" customHeight="1">
      <c r="A14" s="853"/>
      <c r="B14" s="1276" t="s">
        <v>395</v>
      </c>
      <c r="C14" s="1277"/>
      <c r="D14" s="760">
        <f aca="true" t="shared" si="7" ref="D14:Q14">D30</f>
        <v>0</v>
      </c>
      <c r="E14" s="760">
        <f t="shared" si="7"/>
        <v>0</v>
      </c>
      <c r="F14" s="760">
        <f t="shared" si="7"/>
        <v>0</v>
      </c>
      <c r="G14" s="760">
        <f t="shared" si="7"/>
        <v>0</v>
      </c>
      <c r="H14" s="760">
        <f t="shared" si="7"/>
        <v>0</v>
      </c>
      <c r="I14" s="760">
        <f t="shared" si="7"/>
        <v>0</v>
      </c>
      <c r="J14" s="760">
        <f t="shared" si="7"/>
        <v>0</v>
      </c>
      <c r="K14" s="760">
        <f t="shared" si="7"/>
        <v>0</v>
      </c>
      <c r="L14" s="760">
        <f t="shared" si="7"/>
        <v>0</v>
      </c>
      <c r="M14" s="760">
        <f t="shared" si="7"/>
        <v>0</v>
      </c>
      <c r="N14" s="760">
        <f t="shared" si="7"/>
        <v>0</v>
      </c>
      <c r="O14" s="760">
        <f t="shared" si="7"/>
        <v>0</v>
      </c>
      <c r="P14" s="760">
        <f t="shared" si="7"/>
        <v>0</v>
      </c>
      <c r="Q14" s="754">
        <f t="shared" si="7"/>
        <v>0.1</v>
      </c>
      <c r="R14" s="853"/>
    </row>
    <row r="15" spans="1:18" ht="19.5" customHeight="1" thickBot="1">
      <c r="A15" s="853"/>
      <c r="B15" s="1278" t="s">
        <v>397</v>
      </c>
      <c r="C15" s="1279"/>
      <c r="D15" s="762">
        <f aca="true" t="shared" si="8" ref="D15:Q15">D31</f>
        <v>0</v>
      </c>
      <c r="E15" s="762">
        <f t="shared" si="8"/>
        <v>0</v>
      </c>
      <c r="F15" s="762">
        <f t="shared" si="8"/>
        <v>0</v>
      </c>
      <c r="G15" s="762">
        <f t="shared" si="8"/>
        <v>0</v>
      </c>
      <c r="H15" s="762">
        <f t="shared" si="8"/>
        <v>0</v>
      </c>
      <c r="I15" s="762">
        <f t="shared" si="8"/>
        <v>0</v>
      </c>
      <c r="J15" s="762">
        <f t="shared" si="8"/>
        <v>0</v>
      </c>
      <c r="K15" s="762">
        <f t="shared" si="8"/>
        <v>0</v>
      </c>
      <c r="L15" s="762">
        <f t="shared" si="8"/>
        <v>0</v>
      </c>
      <c r="M15" s="762">
        <f t="shared" si="8"/>
        <v>0</v>
      </c>
      <c r="N15" s="762">
        <f t="shared" si="8"/>
        <v>0</v>
      </c>
      <c r="O15" s="762">
        <f t="shared" si="8"/>
        <v>0</v>
      </c>
      <c r="P15" s="762">
        <f t="shared" si="8"/>
        <v>0.1</v>
      </c>
      <c r="Q15" s="763">
        <f t="shared" si="8"/>
        <v>0</v>
      </c>
      <c r="R15" s="853"/>
    </row>
    <row r="16" spans="1:18" ht="19.5" customHeight="1" thickTop="1">
      <c r="A16" s="853"/>
      <c r="B16" s="861"/>
      <c r="C16" s="861"/>
      <c r="D16" s="862"/>
      <c r="E16" s="862"/>
      <c r="F16" s="862"/>
      <c r="G16" s="862"/>
      <c r="H16" s="862"/>
      <c r="I16" s="862"/>
      <c r="J16" s="862"/>
      <c r="K16" s="862"/>
      <c r="L16" s="862"/>
      <c r="M16" s="862"/>
      <c r="N16" s="862"/>
      <c r="O16" s="862"/>
      <c r="P16" s="862"/>
      <c r="Q16" s="862"/>
      <c r="R16" s="853"/>
    </row>
    <row r="17" spans="2:17" ht="13.5">
      <c r="B17" s="681"/>
      <c r="C17" s="71"/>
      <c r="D17" s="71"/>
      <c r="E17" s="71"/>
      <c r="F17" s="71"/>
      <c r="G17" s="71"/>
      <c r="H17" s="71"/>
      <c r="I17" s="71"/>
      <c r="J17" s="71"/>
      <c r="K17" s="71"/>
      <c r="L17" s="71"/>
      <c r="M17" s="71"/>
      <c r="N17" s="71"/>
      <c r="O17" s="71"/>
      <c r="P17" s="71"/>
      <c r="Q17" s="71"/>
    </row>
    <row r="18" spans="2:17" ht="14.25" thickBot="1">
      <c r="B18" s="682"/>
      <c r="C18" s="683"/>
      <c r="D18" s="683"/>
      <c r="E18" s="683"/>
      <c r="F18" s="683"/>
      <c r="G18" s="683"/>
      <c r="H18" s="683"/>
      <c r="I18" s="683"/>
      <c r="J18" s="683"/>
      <c r="K18" s="683"/>
      <c r="L18" s="683"/>
      <c r="M18" s="683"/>
      <c r="N18" s="683"/>
      <c r="O18" s="683"/>
      <c r="P18" s="683"/>
      <c r="Q18" s="683"/>
    </row>
    <row r="19" spans="2:17" ht="14.25" thickTop="1">
      <c r="B19" s="739"/>
      <c r="C19" s="761" t="s">
        <v>520</v>
      </c>
      <c r="D19" s="1299" t="s">
        <v>37</v>
      </c>
      <c r="E19" s="1300" t="s">
        <v>360</v>
      </c>
      <c r="F19" s="1301"/>
      <c r="G19" s="1301"/>
      <c r="H19" s="1301"/>
      <c r="I19" s="1301"/>
      <c r="J19" s="1301"/>
      <c r="K19" s="1301"/>
      <c r="L19" s="1301"/>
      <c r="M19" s="1301"/>
      <c r="N19" s="1301"/>
      <c r="O19" s="1302"/>
      <c r="P19" s="1297" t="s">
        <v>401</v>
      </c>
      <c r="Q19" s="1298" t="s">
        <v>402</v>
      </c>
    </row>
    <row r="20" spans="2:18" ht="20.25" customHeight="1">
      <c r="B20" s="739"/>
      <c r="C20" s="740"/>
      <c r="D20" s="1281"/>
      <c r="E20" s="1266" t="s">
        <v>63</v>
      </c>
      <c r="F20" s="1266" t="s">
        <v>30</v>
      </c>
      <c r="G20" s="1266" t="s">
        <v>31</v>
      </c>
      <c r="H20" s="1266" t="s">
        <v>32</v>
      </c>
      <c r="I20" s="1266" t="s">
        <v>243</v>
      </c>
      <c r="J20" s="1268" t="s">
        <v>33</v>
      </c>
      <c r="K20" s="1269"/>
      <c r="L20" s="1270"/>
      <c r="M20" s="1271" t="s">
        <v>374</v>
      </c>
      <c r="N20" s="1273" t="s">
        <v>403</v>
      </c>
      <c r="O20" s="1274" t="s">
        <v>375</v>
      </c>
      <c r="P20" s="1287"/>
      <c r="Q20" s="1264"/>
      <c r="R20" s="500" t="s">
        <v>554</v>
      </c>
    </row>
    <row r="21" spans="2:18" ht="27" customHeight="1" thickBot="1">
      <c r="B21" s="741" t="s">
        <v>519</v>
      </c>
      <c r="C21" s="742"/>
      <c r="D21" s="1282"/>
      <c r="E21" s="1267"/>
      <c r="F21" s="1267"/>
      <c r="G21" s="1267"/>
      <c r="H21" s="1267"/>
      <c r="I21" s="1267"/>
      <c r="J21" s="743" t="s">
        <v>404</v>
      </c>
      <c r="K21" s="743" t="s">
        <v>405</v>
      </c>
      <c r="L21" s="743" t="s">
        <v>406</v>
      </c>
      <c r="M21" s="1272"/>
      <c r="N21" s="1267"/>
      <c r="O21" s="1275"/>
      <c r="P21" s="1288"/>
      <c r="Q21" s="1265"/>
      <c r="R21" s="490" t="s">
        <v>553</v>
      </c>
    </row>
    <row r="22" spans="2:18" ht="19.5" customHeight="1">
      <c r="B22" s="1289" t="s">
        <v>398</v>
      </c>
      <c r="C22" s="1290"/>
      <c r="D22" s="744" t="s">
        <v>363</v>
      </c>
      <c r="E22" s="744" t="s">
        <v>363</v>
      </c>
      <c r="F22" s="744" t="s">
        <v>363</v>
      </c>
      <c r="G22" s="744" t="s">
        <v>363</v>
      </c>
      <c r="H22" s="744" t="s">
        <v>363</v>
      </c>
      <c r="I22" s="744" t="s">
        <v>363</v>
      </c>
      <c r="J22" s="744" t="s">
        <v>363</v>
      </c>
      <c r="K22" s="744" t="s">
        <v>363</v>
      </c>
      <c r="L22" s="744" t="s">
        <v>363</v>
      </c>
      <c r="M22" s="744" t="s">
        <v>363</v>
      </c>
      <c r="N22" s="744" t="s">
        <v>363</v>
      </c>
      <c r="O22" s="745" t="s">
        <v>363</v>
      </c>
      <c r="P22" s="744" t="s">
        <v>363</v>
      </c>
      <c r="Q22" s="746" t="s">
        <v>363</v>
      </c>
      <c r="R22" s="71"/>
    </row>
    <row r="23" spans="2:18" ht="19.5" customHeight="1">
      <c r="B23" s="1291"/>
      <c r="C23" s="1292"/>
      <c r="D23" s="747">
        <f>ROUND($D39/$D$39*100,1)</f>
        <v>100</v>
      </c>
      <c r="E23" s="747">
        <f>ROUND($E39/$E$39*100,1)</f>
        <v>100</v>
      </c>
      <c r="F23" s="747">
        <f>ROUND($F39/$F$39*100,1)</f>
        <v>100</v>
      </c>
      <c r="G23" s="747">
        <f aca="true" t="shared" si="9" ref="G23:G31">ROUND($G39/$G$39*100,1)</f>
        <v>100</v>
      </c>
      <c r="H23" s="747">
        <f aca="true" t="shared" si="10" ref="H23:H31">ROUND($H39/$H$39*100,1)</f>
        <v>100</v>
      </c>
      <c r="I23" s="747">
        <f aca="true" t="shared" si="11" ref="I23:I31">ROUND($I39/$I$39*100,1)</f>
        <v>100</v>
      </c>
      <c r="J23" s="747">
        <f aca="true" t="shared" si="12" ref="J23:J31">ROUND($J39/$J$39*100,1)</f>
        <v>100</v>
      </c>
      <c r="K23" s="747">
        <f aca="true" t="shared" si="13" ref="K23:K31">ROUND($K39/$K$39*100,1)</f>
        <v>100</v>
      </c>
      <c r="L23" s="747">
        <f aca="true" t="shared" si="14" ref="L23:L31">ROUND($L39/$L$39*100,1)</f>
        <v>100</v>
      </c>
      <c r="M23" s="747">
        <f aca="true" t="shared" si="15" ref="M23:M31">ROUND($M39/$M$39*100,1)</f>
        <v>100</v>
      </c>
      <c r="N23" s="747">
        <f aca="true" t="shared" si="16" ref="N23:N31">ROUND($N39/$N$39*100,1)</f>
        <v>100</v>
      </c>
      <c r="O23" s="747">
        <f aca="true" t="shared" si="17" ref="O23:O31">ROUND($O39/$O$39*100,1)</f>
        <v>100</v>
      </c>
      <c r="P23" s="747">
        <f aca="true" t="shared" si="18" ref="P23:P31">ROUND($P39/$P$39*100,1)</f>
        <v>100</v>
      </c>
      <c r="Q23" s="748">
        <f aca="true" t="shared" si="19" ref="Q23:Q31">ROUND($Q39/$Q$39*100,1)</f>
        <v>100</v>
      </c>
      <c r="R23" s="71"/>
    </row>
    <row r="24" spans="1:18" ht="19.5" customHeight="1">
      <c r="A24" s="71"/>
      <c r="B24" s="1293" t="s">
        <v>45</v>
      </c>
      <c r="C24" s="1294"/>
      <c r="D24" s="749">
        <f aca="true" t="shared" si="20" ref="D24:D31">ROUND($D40/$D$39*100,1)</f>
        <v>96.3</v>
      </c>
      <c r="E24" s="749">
        <f aca="true" t="shared" si="21" ref="E24:E31">ROUND($E40/$E$39*100,1)</f>
        <v>96.3</v>
      </c>
      <c r="F24" s="749">
        <f aca="true" t="shared" si="22" ref="F24:F31">ROUND($F40/$F$39*100,1)</f>
        <v>100</v>
      </c>
      <c r="G24" s="749">
        <f t="shared" si="9"/>
        <v>95</v>
      </c>
      <c r="H24" s="749">
        <f t="shared" si="10"/>
        <v>96.3</v>
      </c>
      <c r="I24" s="749">
        <f t="shared" si="11"/>
        <v>99.5</v>
      </c>
      <c r="J24" s="749">
        <f t="shared" si="12"/>
        <v>97.4</v>
      </c>
      <c r="K24" s="749">
        <f t="shared" si="13"/>
        <v>100</v>
      </c>
      <c r="L24" s="749">
        <f t="shared" si="14"/>
        <v>100</v>
      </c>
      <c r="M24" s="749">
        <f t="shared" si="15"/>
        <v>100</v>
      </c>
      <c r="N24" s="749">
        <f t="shared" si="16"/>
        <v>100</v>
      </c>
      <c r="O24" s="749">
        <f t="shared" si="17"/>
        <v>100</v>
      </c>
      <c r="P24" s="749">
        <f t="shared" si="18"/>
        <v>94.2</v>
      </c>
      <c r="Q24" s="750">
        <f t="shared" si="19"/>
        <v>98.8</v>
      </c>
      <c r="R24" s="71"/>
    </row>
    <row r="25" spans="1:18" ht="19.5" customHeight="1">
      <c r="A25" s="71"/>
      <c r="B25" s="751"/>
      <c r="C25" s="10" t="s">
        <v>46</v>
      </c>
      <c r="D25" s="752">
        <f t="shared" si="20"/>
        <v>11.6</v>
      </c>
      <c r="E25" s="753">
        <f>ROUND($E41/$E$39*100,1)</f>
        <v>13.4</v>
      </c>
      <c r="F25" s="753">
        <f t="shared" si="22"/>
        <v>0.8</v>
      </c>
      <c r="G25" s="753">
        <f t="shared" si="9"/>
        <v>17.8</v>
      </c>
      <c r="H25" s="753">
        <f t="shared" si="10"/>
        <v>17.2</v>
      </c>
      <c r="I25" s="753">
        <f t="shared" si="11"/>
        <v>14.3</v>
      </c>
      <c r="J25" s="753">
        <f t="shared" si="12"/>
        <v>2</v>
      </c>
      <c r="K25" s="753">
        <f t="shared" si="13"/>
        <v>0.4</v>
      </c>
      <c r="L25" s="753">
        <f t="shared" si="14"/>
        <v>0.8</v>
      </c>
      <c r="M25" s="753">
        <f t="shared" si="15"/>
        <v>7.3</v>
      </c>
      <c r="N25" s="753">
        <f t="shared" si="16"/>
        <v>5.3</v>
      </c>
      <c r="O25" s="753">
        <f t="shared" si="17"/>
        <v>0.2</v>
      </c>
      <c r="P25" s="753">
        <f t="shared" si="18"/>
        <v>3</v>
      </c>
      <c r="Q25" s="754">
        <f t="shared" si="19"/>
        <v>0.9</v>
      </c>
      <c r="R25" s="71"/>
    </row>
    <row r="26" spans="1:18" ht="19.5" customHeight="1">
      <c r="A26" s="71"/>
      <c r="B26" s="755"/>
      <c r="C26" s="10" t="s">
        <v>382</v>
      </c>
      <c r="D26" s="753">
        <f>ROUND($D42/$D$39*100,1)</f>
        <v>55.9</v>
      </c>
      <c r="E26" s="836">
        <f>ROUND($E42/$E$39*100,1)-0.1</f>
        <v>62.1</v>
      </c>
      <c r="F26" s="753">
        <f t="shared" si="22"/>
        <v>0.2</v>
      </c>
      <c r="G26" s="753">
        <f t="shared" si="9"/>
        <v>48.5</v>
      </c>
      <c r="H26" s="836">
        <f>ROUND($H42/$H$39*100,1)+0.1</f>
        <v>52.800000000000004</v>
      </c>
      <c r="I26" s="753">
        <f t="shared" si="11"/>
        <v>85.2</v>
      </c>
      <c r="J26" s="753">
        <f t="shared" si="12"/>
        <v>95.4</v>
      </c>
      <c r="K26" s="753">
        <f t="shared" si="13"/>
        <v>99.6</v>
      </c>
      <c r="L26" s="753">
        <f t="shared" si="14"/>
        <v>99.2</v>
      </c>
      <c r="M26" s="753">
        <f t="shared" si="15"/>
        <v>92.7</v>
      </c>
      <c r="N26" s="753">
        <f t="shared" si="16"/>
        <v>94.7</v>
      </c>
      <c r="O26" s="753">
        <f t="shared" si="17"/>
        <v>0.1</v>
      </c>
      <c r="P26" s="753">
        <f t="shared" si="18"/>
        <v>11</v>
      </c>
      <c r="Q26" s="890">
        <f>ROUND($Q42/$Q$39*100,1)+0.1</f>
        <v>39.6</v>
      </c>
      <c r="R26" s="71"/>
    </row>
    <row r="27" spans="1:18" ht="19.5" customHeight="1">
      <c r="A27" s="71"/>
      <c r="B27" s="756"/>
      <c r="C27" s="10" t="s">
        <v>549</v>
      </c>
      <c r="D27" s="753">
        <f t="shared" si="20"/>
        <v>28.8</v>
      </c>
      <c r="E27" s="752">
        <f t="shared" si="21"/>
        <v>20.8</v>
      </c>
      <c r="F27" s="752">
        <f>ROUND($F43/$F$39*100,1)</f>
        <v>99</v>
      </c>
      <c r="G27" s="752">
        <f>ROUND($G43/$G$39*100,1)</f>
        <v>28.7</v>
      </c>
      <c r="H27" s="752">
        <f t="shared" si="10"/>
        <v>26.3</v>
      </c>
      <c r="I27" s="752">
        <f t="shared" si="11"/>
        <v>0</v>
      </c>
      <c r="J27" s="752">
        <f t="shared" si="12"/>
        <v>0</v>
      </c>
      <c r="K27" s="752">
        <f t="shared" si="13"/>
        <v>0</v>
      </c>
      <c r="L27" s="752">
        <f t="shared" si="14"/>
        <v>0</v>
      </c>
      <c r="M27" s="752">
        <f t="shared" si="15"/>
        <v>0</v>
      </c>
      <c r="N27" s="752">
        <f t="shared" si="16"/>
        <v>0</v>
      </c>
      <c r="O27" s="752">
        <f>ROUND($O43/$O$39*100,1)</f>
        <v>99.7</v>
      </c>
      <c r="P27" s="837">
        <f>ROUND($P43/$P$39*100,1)-0.1</f>
        <v>80.2</v>
      </c>
      <c r="Q27" s="757">
        <f t="shared" si="19"/>
        <v>58.3</v>
      </c>
      <c r="R27" s="71"/>
    </row>
    <row r="28" spans="1:18" ht="19.5" customHeight="1">
      <c r="A28" s="71"/>
      <c r="B28" s="1295" t="s">
        <v>48</v>
      </c>
      <c r="C28" s="1296"/>
      <c r="D28" s="749">
        <f t="shared" si="20"/>
        <v>3.7</v>
      </c>
      <c r="E28" s="749">
        <f t="shared" si="21"/>
        <v>3.7</v>
      </c>
      <c r="F28" s="749">
        <f t="shared" si="22"/>
        <v>0</v>
      </c>
      <c r="G28" s="749">
        <f t="shared" si="9"/>
        <v>5</v>
      </c>
      <c r="H28" s="749">
        <f t="shared" si="10"/>
        <v>3.7</v>
      </c>
      <c r="I28" s="749">
        <f t="shared" si="11"/>
        <v>0.5</v>
      </c>
      <c r="J28" s="749">
        <f t="shared" si="12"/>
        <v>2.6</v>
      </c>
      <c r="K28" s="749">
        <f t="shared" si="13"/>
        <v>0</v>
      </c>
      <c r="L28" s="749">
        <f t="shared" si="14"/>
        <v>0</v>
      </c>
      <c r="M28" s="749">
        <f t="shared" si="15"/>
        <v>0</v>
      </c>
      <c r="N28" s="749">
        <f t="shared" si="16"/>
        <v>0</v>
      </c>
      <c r="O28" s="749">
        <f t="shared" si="17"/>
        <v>0</v>
      </c>
      <c r="P28" s="749">
        <f t="shared" si="18"/>
        <v>5.7</v>
      </c>
      <c r="Q28" s="750">
        <f t="shared" si="19"/>
        <v>1.1</v>
      </c>
      <c r="R28" s="71"/>
    </row>
    <row r="29" spans="1:18" ht="19.5" customHeight="1">
      <c r="A29" s="71"/>
      <c r="B29" s="1295" t="s">
        <v>385</v>
      </c>
      <c r="C29" s="1296"/>
      <c r="D29" s="749">
        <f t="shared" si="20"/>
        <v>0</v>
      </c>
      <c r="E29" s="758">
        <f t="shared" si="21"/>
        <v>0</v>
      </c>
      <c r="F29" s="758">
        <f t="shared" si="22"/>
        <v>0</v>
      </c>
      <c r="G29" s="758">
        <f t="shared" si="9"/>
        <v>0</v>
      </c>
      <c r="H29" s="758">
        <f t="shared" si="10"/>
        <v>0</v>
      </c>
      <c r="I29" s="758">
        <f t="shared" si="11"/>
        <v>0</v>
      </c>
      <c r="J29" s="758">
        <f t="shared" si="12"/>
        <v>0</v>
      </c>
      <c r="K29" s="758">
        <f t="shared" si="13"/>
        <v>0</v>
      </c>
      <c r="L29" s="758">
        <f t="shared" si="14"/>
        <v>0</v>
      </c>
      <c r="M29" s="758">
        <f t="shared" si="15"/>
        <v>0</v>
      </c>
      <c r="N29" s="758">
        <f t="shared" si="16"/>
        <v>0</v>
      </c>
      <c r="O29" s="758">
        <f t="shared" si="17"/>
        <v>0</v>
      </c>
      <c r="P29" s="758">
        <f t="shared" si="18"/>
        <v>0.1</v>
      </c>
      <c r="Q29" s="759">
        <f t="shared" si="19"/>
        <v>0.1</v>
      </c>
      <c r="R29" s="71"/>
    </row>
    <row r="30" spans="1:18" ht="19.5" customHeight="1">
      <c r="A30" s="71"/>
      <c r="B30" s="1276" t="s">
        <v>395</v>
      </c>
      <c r="C30" s="1277"/>
      <c r="D30" s="760">
        <f t="shared" si="20"/>
        <v>0</v>
      </c>
      <c r="E30" s="760">
        <f t="shared" si="21"/>
        <v>0</v>
      </c>
      <c r="F30" s="760">
        <f t="shared" si="22"/>
        <v>0</v>
      </c>
      <c r="G30" s="760">
        <f t="shared" si="9"/>
        <v>0</v>
      </c>
      <c r="H30" s="760">
        <f t="shared" si="10"/>
        <v>0</v>
      </c>
      <c r="I30" s="760">
        <f t="shared" si="11"/>
        <v>0</v>
      </c>
      <c r="J30" s="760">
        <f t="shared" si="12"/>
        <v>0</v>
      </c>
      <c r="K30" s="760">
        <f t="shared" si="13"/>
        <v>0</v>
      </c>
      <c r="L30" s="760">
        <f t="shared" si="14"/>
        <v>0</v>
      </c>
      <c r="M30" s="760">
        <f t="shared" si="15"/>
        <v>0</v>
      </c>
      <c r="N30" s="760">
        <f t="shared" si="16"/>
        <v>0</v>
      </c>
      <c r="O30" s="760">
        <f t="shared" si="17"/>
        <v>0</v>
      </c>
      <c r="P30" s="760">
        <f t="shared" si="18"/>
        <v>0</v>
      </c>
      <c r="Q30" s="754">
        <f t="shared" si="19"/>
        <v>0.1</v>
      </c>
      <c r="R30" s="71"/>
    </row>
    <row r="31" spans="1:18" ht="19.5" customHeight="1" thickBot="1">
      <c r="A31" s="71"/>
      <c r="B31" s="1278" t="s">
        <v>397</v>
      </c>
      <c r="C31" s="1279"/>
      <c r="D31" s="762">
        <f t="shared" si="20"/>
        <v>0</v>
      </c>
      <c r="E31" s="762">
        <f t="shared" si="21"/>
        <v>0</v>
      </c>
      <c r="F31" s="762">
        <f t="shared" si="22"/>
        <v>0</v>
      </c>
      <c r="G31" s="762">
        <f t="shared" si="9"/>
        <v>0</v>
      </c>
      <c r="H31" s="762">
        <f t="shared" si="10"/>
        <v>0</v>
      </c>
      <c r="I31" s="762">
        <f t="shared" si="11"/>
        <v>0</v>
      </c>
      <c r="J31" s="762">
        <f t="shared" si="12"/>
        <v>0</v>
      </c>
      <c r="K31" s="762">
        <f t="shared" si="13"/>
        <v>0</v>
      </c>
      <c r="L31" s="762">
        <f t="shared" si="14"/>
        <v>0</v>
      </c>
      <c r="M31" s="762">
        <f t="shared" si="15"/>
        <v>0</v>
      </c>
      <c r="N31" s="762">
        <f t="shared" si="16"/>
        <v>0</v>
      </c>
      <c r="O31" s="762">
        <f t="shared" si="17"/>
        <v>0</v>
      </c>
      <c r="P31" s="762">
        <f t="shared" si="18"/>
        <v>0.1</v>
      </c>
      <c r="Q31" s="763">
        <f t="shared" si="19"/>
        <v>0</v>
      </c>
      <c r="R31" s="71"/>
    </row>
    <row r="32" ht="14.25" thickTop="1"/>
    <row r="35" ht="14.25" thickBot="1"/>
    <row r="36" spans="1:17" ht="13.5">
      <c r="A36" s="511"/>
      <c r="B36" s="504"/>
      <c r="C36" s="505" t="s">
        <v>371</v>
      </c>
      <c r="D36" s="1303" t="s">
        <v>37</v>
      </c>
      <c r="E36" s="1306" t="s">
        <v>360</v>
      </c>
      <c r="F36" s="1307"/>
      <c r="G36" s="1307"/>
      <c r="H36" s="1307"/>
      <c r="I36" s="1307"/>
      <c r="J36" s="1307"/>
      <c r="K36" s="1307"/>
      <c r="L36" s="1307"/>
      <c r="M36" s="1307"/>
      <c r="N36" s="1307"/>
      <c r="O36" s="1308"/>
      <c r="P36" s="1303" t="s">
        <v>391</v>
      </c>
      <c r="Q36" s="1309" t="s">
        <v>392</v>
      </c>
    </row>
    <row r="37" spans="1:17" ht="13.5">
      <c r="A37" s="512"/>
      <c r="B37" s="506"/>
      <c r="C37" s="507"/>
      <c r="D37" s="1304"/>
      <c r="E37" s="1304" t="s">
        <v>63</v>
      </c>
      <c r="F37" s="1304" t="s">
        <v>30</v>
      </c>
      <c r="G37" s="1304" t="s">
        <v>31</v>
      </c>
      <c r="H37" s="1304" t="s">
        <v>32</v>
      </c>
      <c r="I37" s="1304" t="s">
        <v>243</v>
      </c>
      <c r="J37" s="1312" t="s">
        <v>33</v>
      </c>
      <c r="K37" s="1313"/>
      <c r="L37" s="1314"/>
      <c r="M37" s="1315" t="s">
        <v>374</v>
      </c>
      <c r="N37" s="1304" t="s">
        <v>39</v>
      </c>
      <c r="O37" s="1317" t="s">
        <v>375</v>
      </c>
      <c r="P37" s="1304"/>
      <c r="Q37" s="1310"/>
    </row>
    <row r="38" spans="1:17" ht="23.25" thickBot="1">
      <c r="A38" s="513"/>
      <c r="B38" s="508"/>
      <c r="C38" s="509"/>
      <c r="D38" s="1305"/>
      <c r="E38" s="1305"/>
      <c r="F38" s="1305"/>
      <c r="G38" s="1305"/>
      <c r="H38" s="1305"/>
      <c r="I38" s="1305"/>
      <c r="J38" s="510" t="s">
        <v>34</v>
      </c>
      <c r="K38" s="510" t="s">
        <v>393</v>
      </c>
      <c r="L38" s="510" t="s">
        <v>394</v>
      </c>
      <c r="M38" s="1316"/>
      <c r="N38" s="1305"/>
      <c r="O38" s="1318"/>
      <c r="P38" s="1305"/>
      <c r="Q38" s="1311"/>
    </row>
    <row r="39" spans="1:17" ht="13.5">
      <c r="A39" s="1319" t="s">
        <v>28</v>
      </c>
      <c r="B39" s="1320"/>
      <c r="C39" s="1321"/>
      <c r="D39" s="517">
        <f>'表６'!$E5</f>
        <v>185172618</v>
      </c>
      <c r="E39" s="517">
        <f>'表６'!$E6</f>
        <v>155605191</v>
      </c>
      <c r="F39" s="517">
        <f>'表６'!$E7</f>
        <v>1493749</v>
      </c>
      <c r="G39" s="517">
        <f>'表６'!$E8</f>
        <v>67762179</v>
      </c>
      <c r="H39" s="517">
        <f>'表６'!$E9</f>
        <v>37540518</v>
      </c>
      <c r="I39" s="517">
        <f>'表６'!$E10</f>
        <v>10008782</v>
      </c>
      <c r="J39" s="517">
        <f>'表６'!$E11</f>
        <v>33668766</v>
      </c>
      <c r="K39" s="517">
        <f>'表６'!$E12</f>
        <v>942570</v>
      </c>
      <c r="L39" s="517">
        <f>'表６'!$E13</f>
        <v>168970</v>
      </c>
      <c r="M39" s="517">
        <f>'表６'!$E15</f>
        <v>2307137</v>
      </c>
      <c r="N39" s="517">
        <f>'表６'!$E16</f>
        <v>212128</v>
      </c>
      <c r="O39" s="517">
        <f>'表６'!$E17</f>
        <v>1500392</v>
      </c>
      <c r="P39" s="517">
        <f>'表６'!$E18</f>
        <v>17407800</v>
      </c>
      <c r="Q39" s="517">
        <f>'表６'!$E19</f>
        <v>12159627</v>
      </c>
    </row>
    <row r="40" spans="1:17" ht="13.5">
      <c r="A40" s="514"/>
      <c r="B40" s="1322" t="s">
        <v>45</v>
      </c>
      <c r="C40" s="1314"/>
      <c r="D40" s="517">
        <f>'表６'!$F5</f>
        <v>178292523</v>
      </c>
      <c r="E40" s="517">
        <f>'表６'!$F6</f>
        <v>149878228</v>
      </c>
      <c r="F40" s="517">
        <f>'表６'!$F7</f>
        <v>1493749</v>
      </c>
      <c r="G40" s="517">
        <f>'表６'!$F8</f>
        <v>64344287</v>
      </c>
      <c r="H40" s="517">
        <f>'表６'!$F9</f>
        <v>36141447</v>
      </c>
      <c r="I40" s="517">
        <f>'表６'!$F10</f>
        <v>9959782</v>
      </c>
      <c r="J40" s="517">
        <f>'表６'!$F11</f>
        <v>32807766</v>
      </c>
      <c r="K40" s="517">
        <f>'表６'!$F12</f>
        <v>942570</v>
      </c>
      <c r="L40" s="517">
        <f>'表６'!$F13</f>
        <v>168970</v>
      </c>
      <c r="M40" s="517">
        <f>'表６'!$F15</f>
        <v>2307137</v>
      </c>
      <c r="N40" s="517">
        <f>'表６'!$F16</f>
        <v>212128</v>
      </c>
      <c r="O40" s="517">
        <f>'表６'!$F17</f>
        <v>1500392</v>
      </c>
      <c r="P40" s="517">
        <f>'表６'!$F18</f>
        <v>16402813</v>
      </c>
      <c r="Q40" s="517">
        <f>'表６'!$F19</f>
        <v>12011482</v>
      </c>
    </row>
    <row r="41" spans="1:17" ht="13.5">
      <c r="A41" s="515"/>
      <c r="B41" s="482"/>
      <c r="C41" s="480" t="s">
        <v>46</v>
      </c>
      <c r="D41" s="517">
        <f>'表６'!$G5</f>
        <v>21478629</v>
      </c>
      <c r="E41" s="517">
        <f>'表６'!$G6</f>
        <v>20848782</v>
      </c>
      <c r="F41" s="517">
        <f>'表６'!$G7</f>
        <v>12374</v>
      </c>
      <c r="G41" s="517">
        <f>'表６'!$G8</f>
        <v>12078932</v>
      </c>
      <c r="H41" s="517">
        <f>'表６'!$G9</f>
        <v>6454256</v>
      </c>
      <c r="I41" s="517">
        <f>'表６'!$G10</f>
        <v>1435388</v>
      </c>
      <c r="J41" s="517">
        <f>'表６'!$G11</f>
        <v>679473</v>
      </c>
      <c r="K41" s="517">
        <f>'表６'!$G12</f>
        <v>3983</v>
      </c>
      <c r="L41" s="517">
        <f>'表６'!$G13</f>
        <v>1272</v>
      </c>
      <c r="M41" s="517">
        <f>'表６'!$G15</f>
        <v>168792</v>
      </c>
      <c r="N41" s="517">
        <f>'表６'!$G16</f>
        <v>11327</v>
      </c>
      <c r="O41" s="517">
        <f>'表６'!$G17</f>
        <v>2985</v>
      </c>
      <c r="P41" s="517">
        <f>'表６'!$G18</f>
        <v>514657</v>
      </c>
      <c r="Q41" s="517">
        <f>'表６'!$G19</f>
        <v>115190</v>
      </c>
    </row>
    <row r="42" spans="1:17" ht="13.5">
      <c r="A42" s="515"/>
      <c r="B42" s="483"/>
      <c r="C42" s="480" t="s">
        <v>382</v>
      </c>
      <c r="D42" s="517">
        <f>'表６'!$H5</f>
        <v>103449122</v>
      </c>
      <c r="E42" s="517">
        <f>'表６'!$H6</f>
        <v>96735664</v>
      </c>
      <c r="F42" s="517">
        <f>'表６'!$H7</f>
        <v>2442</v>
      </c>
      <c r="G42" s="517">
        <f>'表６'!$H8</f>
        <v>32831151</v>
      </c>
      <c r="H42" s="517">
        <f>'表６'!$H9</f>
        <v>19802044</v>
      </c>
      <c r="I42" s="517">
        <f>'表６'!$H10</f>
        <v>8524394</v>
      </c>
      <c r="J42" s="517">
        <f>'表６'!$H11</f>
        <v>32128293</v>
      </c>
      <c r="K42" s="517">
        <f>'表６'!$H12</f>
        <v>938587</v>
      </c>
      <c r="L42" s="517">
        <f>'表６'!$H13</f>
        <v>167698</v>
      </c>
      <c r="M42" s="517">
        <f>'表６'!$H15</f>
        <v>2138345</v>
      </c>
      <c r="N42" s="517">
        <f>'表６'!$H16</f>
        <v>200801</v>
      </c>
      <c r="O42" s="517">
        <f>'表６'!$H17</f>
        <v>1909</v>
      </c>
      <c r="P42" s="517">
        <f>'表６'!$H18</f>
        <v>1907254</v>
      </c>
      <c r="Q42" s="517">
        <f>'表６'!$H19</f>
        <v>4806204</v>
      </c>
    </row>
    <row r="43" spans="1:17" ht="13.5">
      <c r="A43" s="515"/>
      <c r="B43" s="499"/>
      <c r="C43" s="480" t="s">
        <v>47</v>
      </c>
      <c r="D43" s="517">
        <f>'表６'!$I5</f>
        <v>53364772</v>
      </c>
      <c r="E43" s="517">
        <f>'表６'!$I6</f>
        <v>32293782</v>
      </c>
      <c r="F43" s="517">
        <f>'表６'!$I7</f>
        <v>1478933</v>
      </c>
      <c r="G43" s="517">
        <f>'表６'!$I8</f>
        <v>19434204</v>
      </c>
      <c r="H43" s="517">
        <f>'表６'!$I9</f>
        <v>9885147</v>
      </c>
      <c r="I43" s="517">
        <f>'表６'!$I10</f>
        <v>0</v>
      </c>
      <c r="J43" s="517">
        <f>'表６'!$I11</f>
        <v>0</v>
      </c>
      <c r="K43" s="517">
        <f>'表６'!$I12</f>
        <v>0</v>
      </c>
      <c r="L43" s="517">
        <f>'表６'!$I13</f>
        <v>0</v>
      </c>
      <c r="M43" s="517">
        <f>'表６'!$I15</f>
        <v>0</v>
      </c>
      <c r="N43" s="517">
        <f>'表６'!$I16</f>
        <v>0</v>
      </c>
      <c r="O43" s="517">
        <f>'表６'!$I17</f>
        <v>1495498</v>
      </c>
      <c r="P43" s="517">
        <f>'表６'!$I18</f>
        <v>13980902</v>
      </c>
      <c r="Q43" s="517">
        <f>'表６'!$I19</f>
        <v>7090088</v>
      </c>
    </row>
    <row r="44" spans="1:17" ht="13.5">
      <c r="A44" s="515"/>
      <c r="B44" s="1323" t="s">
        <v>48</v>
      </c>
      <c r="C44" s="1054"/>
      <c r="D44" s="517">
        <f>'表６'!$J5</f>
        <v>6845300</v>
      </c>
      <c r="E44" s="517">
        <f>'表６'!$J6</f>
        <v>5722400</v>
      </c>
      <c r="F44" s="517">
        <f>'表６'!$J7</f>
        <v>0</v>
      </c>
      <c r="G44" s="517">
        <f>'表６'!$J8</f>
        <v>3417392</v>
      </c>
      <c r="H44" s="517">
        <f>'表６'!$J9</f>
        <v>1395008</v>
      </c>
      <c r="I44" s="517">
        <f>'表６'!$J10</f>
        <v>49000</v>
      </c>
      <c r="J44" s="517">
        <f>'表６'!$J11</f>
        <v>861000</v>
      </c>
      <c r="K44" s="517">
        <f>'表６'!$J12</f>
        <v>0</v>
      </c>
      <c r="L44" s="517">
        <f>'表６'!$J13</f>
        <v>0</v>
      </c>
      <c r="M44" s="517">
        <f>'表６'!$J15</f>
        <v>0</v>
      </c>
      <c r="N44" s="517">
        <f>'表６'!$J16</f>
        <v>0</v>
      </c>
      <c r="O44" s="517">
        <f>'表６'!$J17</f>
        <v>0</v>
      </c>
      <c r="P44" s="517">
        <f>'表６'!$J18</f>
        <v>991100</v>
      </c>
      <c r="Q44" s="517">
        <f>'表６'!$J19</f>
        <v>131800</v>
      </c>
    </row>
    <row r="45" spans="1:17" ht="13.5">
      <c r="A45" s="515"/>
      <c r="B45" s="1323" t="s">
        <v>385</v>
      </c>
      <c r="C45" s="1054"/>
      <c r="D45" s="518">
        <f>D46+D47</f>
        <v>34795</v>
      </c>
      <c r="E45" s="518">
        <f aca="true" t="shared" si="23" ref="E45:Q45">E46+E47</f>
        <v>4563</v>
      </c>
      <c r="F45" s="518">
        <f t="shared" si="23"/>
        <v>0</v>
      </c>
      <c r="G45" s="518">
        <f t="shared" si="23"/>
        <v>500</v>
      </c>
      <c r="H45" s="518">
        <f t="shared" si="23"/>
        <v>4063</v>
      </c>
      <c r="I45" s="518">
        <f t="shared" si="23"/>
        <v>0</v>
      </c>
      <c r="J45" s="518">
        <f t="shared" si="23"/>
        <v>0</v>
      </c>
      <c r="K45" s="518">
        <f t="shared" si="23"/>
        <v>0</v>
      </c>
      <c r="L45" s="518">
        <f t="shared" si="23"/>
        <v>0</v>
      </c>
      <c r="M45" s="518">
        <f t="shared" si="23"/>
        <v>0</v>
      </c>
      <c r="N45" s="518">
        <f t="shared" si="23"/>
        <v>0</v>
      </c>
      <c r="O45" s="518">
        <f t="shared" si="23"/>
        <v>0</v>
      </c>
      <c r="P45" s="518">
        <f t="shared" si="23"/>
        <v>13887</v>
      </c>
      <c r="Q45" s="518">
        <f t="shared" si="23"/>
        <v>16345</v>
      </c>
    </row>
    <row r="46" spans="1:17" ht="13.5">
      <c r="A46" s="515"/>
      <c r="B46" s="1324" t="s">
        <v>399</v>
      </c>
      <c r="C46" s="1325"/>
      <c r="D46" s="517">
        <f>'表６'!$K5</f>
        <v>22390</v>
      </c>
      <c r="E46" s="517">
        <f>'表６'!$K6</f>
        <v>4563</v>
      </c>
      <c r="F46" s="517">
        <f>'表６'!$K7</f>
        <v>0</v>
      </c>
      <c r="G46" s="517">
        <f>'表６'!$K8</f>
        <v>500</v>
      </c>
      <c r="H46" s="517">
        <f>'表６'!$K9</f>
        <v>4063</v>
      </c>
      <c r="I46" s="517">
        <f>'表６'!$K10</f>
        <v>0</v>
      </c>
      <c r="J46" s="517">
        <f>'表６'!$K11</f>
        <v>0</v>
      </c>
      <c r="K46" s="517">
        <f>'表６'!$K12</f>
        <v>0</v>
      </c>
      <c r="L46" s="517">
        <f>'表６'!$K13</f>
        <v>0</v>
      </c>
      <c r="M46" s="517">
        <f>'表６'!$K15</f>
        <v>0</v>
      </c>
      <c r="N46" s="517">
        <f>'表６'!$K16</f>
        <v>0</v>
      </c>
      <c r="O46" s="517">
        <f>'表６'!$K17</f>
        <v>0</v>
      </c>
      <c r="P46" s="517">
        <f>'表６'!$K18</f>
        <v>1482</v>
      </c>
      <c r="Q46" s="517">
        <f>'表６'!$K19</f>
        <v>16345</v>
      </c>
    </row>
    <row r="47" spans="1:17" ht="14.25" thickBot="1">
      <c r="A47" s="516"/>
      <c r="B47" s="1326" t="s">
        <v>400</v>
      </c>
      <c r="C47" s="1327"/>
      <c r="D47" s="517">
        <f>'表６'!$L5</f>
        <v>12405</v>
      </c>
      <c r="E47" s="517">
        <f>'表６'!$L6</f>
        <v>0</v>
      </c>
      <c r="F47" s="517">
        <f>'表６'!$L7</f>
        <v>0</v>
      </c>
      <c r="G47" s="517">
        <f>'表６'!$L8</f>
        <v>0</v>
      </c>
      <c r="H47" s="517">
        <f>'表６'!$L9</f>
        <v>0</v>
      </c>
      <c r="I47" s="517">
        <f>'表６'!$L10</f>
        <v>0</v>
      </c>
      <c r="J47" s="517">
        <f>'表６'!$L11</f>
        <v>0</v>
      </c>
      <c r="K47" s="517">
        <f>'表６'!$L12</f>
        <v>0</v>
      </c>
      <c r="L47" s="517">
        <f>'表６'!$L13</f>
        <v>0</v>
      </c>
      <c r="M47" s="517">
        <f>'表６'!$L15</f>
        <v>0</v>
      </c>
      <c r="N47" s="517">
        <f>'表６'!$L16</f>
        <v>0</v>
      </c>
      <c r="O47" s="517">
        <f>'表６'!$L17</f>
        <v>0</v>
      </c>
      <c r="P47" s="517">
        <f>'表６'!$L18</f>
        <v>12405</v>
      </c>
      <c r="Q47" s="517">
        <f>'表６'!$L19</f>
        <v>0</v>
      </c>
    </row>
  </sheetData>
  <sheetProtection/>
  <mergeCells count="57">
    <mergeCell ref="A39:C39"/>
    <mergeCell ref="B40:C40"/>
    <mergeCell ref="B44:C44"/>
    <mergeCell ref="B45:C45"/>
    <mergeCell ref="B46:C46"/>
    <mergeCell ref="B47:C47"/>
    <mergeCell ref="Q36:Q38"/>
    <mergeCell ref="E37:E38"/>
    <mergeCell ref="F37:F38"/>
    <mergeCell ref="G37:G38"/>
    <mergeCell ref="H37:H38"/>
    <mergeCell ref="I37:I38"/>
    <mergeCell ref="J37:L37"/>
    <mergeCell ref="M37:M38"/>
    <mergeCell ref="N37:N38"/>
    <mergeCell ref="O37:O38"/>
    <mergeCell ref="B30:C30"/>
    <mergeCell ref="B31:C31"/>
    <mergeCell ref="B22:C23"/>
    <mergeCell ref="D36:D38"/>
    <mergeCell ref="E36:O36"/>
    <mergeCell ref="P36:P38"/>
    <mergeCell ref="O20:O21"/>
    <mergeCell ref="B24:C24"/>
    <mergeCell ref="B28:C28"/>
    <mergeCell ref="B29:C29"/>
    <mergeCell ref="D19:D21"/>
    <mergeCell ref="E19:O19"/>
    <mergeCell ref="P19:P21"/>
    <mergeCell ref="Q19:Q21"/>
    <mergeCell ref="E20:E21"/>
    <mergeCell ref="F20:F21"/>
    <mergeCell ref="G20:G21"/>
    <mergeCell ref="H20:H21"/>
    <mergeCell ref="I20:I21"/>
    <mergeCell ref="J20:L20"/>
    <mergeCell ref="M20:M21"/>
    <mergeCell ref="N20:N21"/>
    <mergeCell ref="B14:C14"/>
    <mergeCell ref="B15:C15"/>
    <mergeCell ref="D3:D5"/>
    <mergeCell ref="E3:O3"/>
    <mergeCell ref="P3:P5"/>
    <mergeCell ref="B6:C7"/>
    <mergeCell ref="B8:C8"/>
    <mergeCell ref="B12:C12"/>
    <mergeCell ref="B13:C13"/>
    <mergeCell ref="Q3:Q5"/>
    <mergeCell ref="E4:E5"/>
    <mergeCell ref="F4:F5"/>
    <mergeCell ref="G4:G5"/>
    <mergeCell ref="H4:H5"/>
    <mergeCell ref="I4:I5"/>
    <mergeCell ref="J4:L4"/>
    <mergeCell ref="M4:M5"/>
    <mergeCell ref="N4:N5"/>
    <mergeCell ref="O4:O5"/>
  </mergeCells>
  <printOptions/>
  <pageMargins left="0.7" right="0.7" top="0.75" bottom="0.75" header="0.3" footer="0.3"/>
  <pageSetup orientation="portrait" paperSize="9" r:id="rId2"/>
  <ignoredErrors>
    <ignoredError sqref="F23:F26 I23:I31 F28:F31" formula="1"/>
  </ignoredErrors>
  <drawing r:id="rId1"/>
</worksheet>
</file>

<file path=xl/worksheets/sheet32.xml><?xml version="1.0" encoding="utf-8"?>
<worksheet xmlns="http://schemas.openxmlformats.org/spreadsheetml/2006/main" xmlns:r="http://schemas.openxmlformats.org/officeDocument/2006/relationships">
  <sheetPr>
    <tabColor rgb="FFFF0000"/>
  </sheetPr>
  <dimension ref="A1:I18"/>
  <sheetViews>
    <sheetView showGridLines="0" zoomScalePageLayoutView="0" workbookViewId="0" topLeftCell="A1">
      <selection activeCell="H11" sqref="H11"/>
    </sheetView>
  </sheetViews>
  <sheetFormatPr defaultColWidth="9.00390625" defaultRowHeight="13.5"/>
  <cols>
    <col min="2" max="2" width="2.625" style="0" customWidth="1"/>
    <col min="3" max="3" width="15.375" style="0" customWidth="1"/>
    <col min="4" max="5" width="12.75390625" style="0" bestFit="1" customWidth="1"/>
    <col min="6" max="6" width="8.50390625" style="0" bestFit="1" customWidth="1"/>
    <col min="7" max="8" width="10.50390625" style="0" bestFit="1" customWidth="1"/>
  </cols>
  <sheetData>
    <row r="1" spans="1:9" ht="14.25" thickBot="1">
      <c r="A1" s="541"/>
      <c r="B1" s="858" t="s">
        <v>418</v>
      </c>
      <c r="C1" s="859"/>
      <c r="D1" s="859"/>
      <c r="E1" s="859"/>
      <c r="F1" s="859"/>
      <c r="G1" s="859"/>
      <c r="H1" s="859"/>
      <c r="I1" s="541"/>
    </row>
    <row r="2" spans="1:9" ht="18.75" customHeight="1" thickTop="1">
      <c r="A2" s="853"/>
      <c r="B2" s="1333" t="s">
        <v>412</v>
      </c>
      <c r="C2" s="1334"/>
      <c r="D2" s="1330" t="s">
        <v>413</v>
      </c>
      <c r="E2" s="1331"/>
      <c r="F2" s="1332"/>
      <c r="G2" s="1328" t="s">
        <v>414</v>
      </c>
      <c r="H2" s="1329"/>
      <c r="I2" s="541"/>
    </row>
    <row r="3" spans="1:9" ht="28.5" customHeight="1">
      <c r="A3" s="853"/>
      <c r="B3" s="1335"/>
      <c r="C3" s="1336"/>
      <c r="D3" s="521" t="s">
        <v>558</v>
      </c>
      <c r="E3" s="522" t="s">
        <v>408</v>
      </c>
      <c r="F3" s="523" t="s">
        <v>409</v>
      </c>
      <c r="G3" s="524" t="s">
        <v>559</v>
      </c>
      <c r="H3" s="525" t="s">
        <v>408</v>
      </c>
      <c r="I3" s="541"/>
    </row>
    <row r="4" spans="1:9" ht="9.75" customHeight="1">
      <c r="A4" s="853"/>
      <c r="B4" s="1337" t="s">
        <v>415</v>
      </c>
      <c r="C4" s="1338"/>
      <c r="D4" s="519" t="s">
        <v>410</v>
      </c>
      <c r="E4" s="519" t="s">
        <v>410</v>
      </c>
      <c r="F4" s="519" t="s">
        <v>411</v>
      </c>
      <c r="G4" s="519" t="s">
        <v>411</v>
      </c>
      <c r="H4" s="520" t="s">
        <v>411</v>
      </c>
      <c r="I4" s="853"/>
    </row>
    <row r="5" spans="1:9" ht="21" customHeight="1">
      <c r="A5" s="853"/>
      <c r="B5" s="1339"/>
      <c r="C5" s="1340"/>
      <c r="D5" s="527">
        <f>'表２１－１'!E8</f>
        <v>185172618</v>
      </c>
      <c r="E5" s="527">
        <f>'表２１－１'!D8</f>
        <v>184853627</v>
      </c>
      <c r="F5" s="532">
        <f>(D5-E5)/E5*100</f>
        <v>0.17256410121722957</v>
      </c>
      <c r="G5" s="535">
        <f>SUM(G6:G8)</f>
        <v>100</v>
      </c>
      <c r="H5" s="536">
        <f>SUM(H6:H8)</f>
        <v>99.99999999999999</v>
      </c>
      <c r="I5" s="853"/>
    </row>
    <row r="6" spans="1:9" ht="19.5" customHeight="1">
      <c r="A6" s="853"/>
      <c r="B6" s="751"/>
      <c r="C6" s="10" t="s">
        <v>416</v>
      </c>
      <c r="D6" s="526">
        <f>'表２１－１'!I45</f>
        <v>158580989</v>
      </c>
      <c r="E6" s="530">
        <f>'表２１－１'!H45</f>
        <v>155506132</v>
      </c>
      <c r="F6" s="580">
        <f>(D6-E6)/E6*100</f>
        <v>1.9773220261179152</v>
      </c>
      <c r="G6" s="531">
        <v>85.6</v>
      </c>
      <c r="H6" s="537">
        <v>84.1</v>
      </c>
      <c r="I6" s="863"/>
    </row>
    <row r="7" spans="1:9" ht="19.5" customHeight="1">
      <c r="A7" s="853"/>
      <c r="B7" s="755"/>
      <c r="C7" s="10" t="s">
        <v>23</v>
      </c>
      <c r="D7" s="526">
        <f>'表２１－１'!M45</f>
        <v>16908797</v>
      </c>
      <c r="E7" s="530">
        <f>'表２１－１'!L45</f>
        <v>20414440</v>
      </c>
      <c r="F7" s="532">
        <f>(D7-E7)/E7*100</f>
        <v>-17.172369166139262</v>
      </c>
      <c r="G7" s="531">
        <v>9.2</v>
      </c>
      <c r="H7" s="537">
        <v>11.1</v>
      </c>
      <c r="I7" s="541"/>
    </row>
    <row r="8" spans="1:9" ht="19.5" customHeight="1" thickBot="1">
      <c r="A8" s="853"/>
      <c r="B8" s="835"/>
      <c r="C8" s="764" t="s">
        <v>417</v>
      </c>
      <c r="D8" s="765">
        <f>'表２１－１'!Q45</f>
        <v>9682832</v>
      </c>
      <c r="E8" s="766">
        <f>'表２１－１'!P45</f>
        <v>8933055</v>
      </c>
      <c r="F8" s="767">
        <f>(D8-E8)/E8*100</f>
        <v>8.393287626685384</v>
      </c>
      <c r="G8" s="768">
        <v>5.2</v>
      </c>
      <c r="H8" s="769">
        <v>4.8</v>
      </c>
      <c r="I8" s="541"/>
    </row>
    <row r="9" spans="1:9" ht="14.25" thickTop="1">
      <c r="A9" s="853"/>
      <c r="B9" s="864"/>
      <c r="C9" s="865"/>
      <c r="D9" s="866"/>
      <c r="E9" s="867"/>
      <c r="F9" s="868"/>
      <c r="G9" s="869"/>
      <c r="H9" s="864"/>
      <c r="I9" s="541"/>
    </row>
    <row r="10" spans="1:8" ht="13.5">
      <c r="A10" s="71"/>
      <c r="B10" s="533"/>
      <c r="C10" s="533"/>
      <c r="D10" s="533"/>
      <c r="E10" s="533"/>
      <c r="F10" s="533"/>
      <c r="G10" s="534">
        <f>SUM(G11:G13)</f>
        <v>1</v>
      </c>
      <c r="H10" s="534">
        <f>SUM(H11:H13)</f>
        <v>1</v>
      </c>
    </row>
    <row r="11" spans="2:8" ht="13.5">
      <c r="B11" s="71"/>
      <c r="C11" s="529"/>
      <c r="D11" s="528">
        <f>SUM(D6:D8)</f>
        <v>185172618</v>
      </c>
      <c r="E11" s="528">
        <f>SUM(E6:E8)</f>
        <v>184853627</v>
      </c>
      <c r="F11" s="71"/>
      <c r="G11">
        <f>D6/$D$5</f>
        <v>0.8563954579936868</v>
      </c>
      <c r="H11" s="71">
        <f>E6/$E$5</f>
        <v>0.8412392795517072</v>
      </c>
    </row>
    <row r="12" spans="7:8" ht="13.5">
      <c r="G12">
        <f>D7/$D$5</f>
        <v>0.09131370060340131</v>
      </c>
      <c r="H12" s="71">
        <f>E7/$E$5</f>
        <v>0.11043570164841829</v>
      </c>
    </row>
    <row r="13" spans="7:8" ht="13.5">
      <c r="G13">
        <f>D8/$D$5</f>
        <v>0.05229084140291196</v>
      </c>
      <c r="H13" s="71">
        <f>E8/$E$5</f>
        <v>0.04832501879987456</v>
      </c>
    </row>
    <row r="18" ht="13.5">
      <c r="E18" s="834"/>
    </row>
  </sheetData>
  <sheetProtection/>
  <mergeCells count="4">
    <mergeCell ref="G2:H2"/>
    <mergeCell ref="D2:F2"/>
    <mergeCell ref="B2:C3"/>
    <mergeCell ref="B4:C5"/>
  </mergeCells>
  <printOptions/>
  <pageMargins left="0.7" right="0.7" top="0.75" bottom="0.75" header="0.3" footer="0.3"/>
  <pageSetup orientation="portrait" paperSize="9" r:id="rId1"/>
</worksheet>
</file>

<file path=xl/worksheets/sheet33.xml><?xml version="1.0" encoding="utf-8"?>
<worksheet xmlns="http://schemas.openxmlformats.org/spreadsheetml/2006/main" xmlns:r="http://schemas.openxmlformats.org/officeDocument/2006/relationships">
  <sheetPr>
    <tabColor rgb="FFFF0000"/>
  </sheetPr>
  <dimension ref="A1:U67"/>
  <sheetViews>
    <sheetView showGridLines="0" zoomScalePageLayoutView="0" workbookViewId="0" topLeftCell="A7">
      <selection activeCell="H11" sqref="H11"/>
    </sheetView>
  </sheetViews>
  <sheetFormatPr defaultColWidth="9.00390625" defaultRowHeight="13.5"/>
  <cols>
    <col min="1" max="1" width="9.00390625" style="0" customWidth="1"/>
    <col min="2" max="2" width="0.74609375" style="0" customWidth="1"/>
    <col min="3" max="3" width="1.625" style="0" customWidth="1"/>
    <col min="4" max="4" width="1.37890625" style="0" customWidth="1"/>
    <col min="5" max="5" width="13.875" style="0" customWidth="1"/>
    <col min="6" max="20" width="5.375" style="0" customWidth="1"/>
  </cols>
  <sheetData>
    <row r="1" spans="1:21" ht="26.25" customHeight="1">
      <c r="A1" s="541"/>
      <c r="B1" s="541"/>
      <c r="C1" s="541"/>
      <c r="D1" s="541"/>
      <c r="E1" s="541"/>
      <c r="F1" s="541"/>
      <c r="G1" s="541"/>
      <c r="H1" s="541"/>
      <c r="I1" s="541"/>
      <c r="J1" s="541"/>
      <c r="K1" s="541"/>
      <c r="L1" s="541"/>
      <c r="M1" s="541"/>
      <c r="N1" s="541"/>
      <c r="O1" s="541"/>
      <c r="P1" s="541"/>
      <c r="Q1" s="541"/>
      <c r="R1" s="541"/>
      <c r="S1" s="541"/>
      <c r="T1" s="541"/>
      <c r="U1" s="541"/>
    </row>
    <row r="2" spans="1:21" ht="14.25" thickBot="1">
      <c r="A2" s="541"/>
      <c r="B2" s="853"/>
      <c r="C2" s="853"/>
      <c r="D2" s="853"/>
      <c r="E2" s="853"/>
      <c r="F2" s="859"/>
      <c r="G2" s="859"/>
      <c r="H2" s="859"/>
      <c r="I2" s="859"/>
      <c r="J2" s="859"/>
      <c r="K2" s="859"/>
      <c r="L2" s="859"/>
      <c r="M2" s="859"/>
      <c r="N2" s="859"/>
      <c r="O2" s="859"/>
      <c r="P2" s="859"/>
      <c r="Q2" s="859"/>
      <c r="R2" s="859"/>
      <c r="S2" s="859"/>
      <c r="T2" s="541"/>
      <c r="U2" s="541"/>
    </row>
    <row r="3" spans="1:21" ht="14.25" thickTop="1">
      <c r="A3" s="853"/>
      <c r="B3" s="1373" t="s">
        <v>528</v>
      </c>
      <c r="C3" s="1374"/>
      <c r="D3" s="1374"/>
      <c r="E3" s="1375"/>
      <c r="F3" s="1342" t="s">
        <v>492</v>
      </c>
      <c r="G3" s="1344" t="s">
        <v>522</v>
      </c>
      <c r="H3" s="1345"/>
      <c r="I3" s="1345"/>
      <c r="J3" s="1345"/>
      <c r="K3" s="1345"/>
      <c r="L3" s="1345"/>
      <c r="M3" s="1345"/>
      <c r="N3" s="1345"/>
      <c r="O3" s="1345"/>
      <c r="P3" s="1345"/>
      <c r="Q3" s="1346"/>
      <c r="R3" s="1390" t="s">
        <v>505</v>
      </c>
      <c r="S3" s="1387" t="s">
        <v>506</v>
      </c>
      <c r="T3" s="853"/>
      <c r="U3" s="541"/>
    </row>
    <row r="4" spans="1:21" ht="9" customHeight="1">
      <c r="A4" s="853"/>
      <c r="B4" s="1376"/>
      <c r="C4" s="1376"/>
      <c r="D4" s="1376"/>
      <c r="E4" s="1377"/>
      <c r="F4" s="1342"/>
      <c r="G4" s="1341" t="s">
        <v>494</v>
      </c>
      <c r="H4" s="1341" t="s">
        <v>421</v>
      </c>
      <c r="I4" s="1341" t="s">
        <v>422</v>
      </c>
      <c r="J4" s="1341" t="s">
        <v>423</v>
      </c>
      <c r="K4" s="1350" t="s">
        <v>526</v>
      </c>
      <c r="L4" s="1367" t="s">
        <v>425</v>
      </c>
      <c r="M4" s="1368"/>
      <c r="N4" s="1369"/>
      <c r="O4" s="1357" t="s">
        <v>429</v>
      </c>
      <c r="P4" s="1350" t="s">
        <v>430</v>
      </c>
      <c r="Q4" s="1350" t="s">
        <v>443</v>
      </c>
      <c r="R4" s="1391"/>
      <c r="S4" s="1388"/>
      <c r="T4" s="853"/>
      <c r="U4" s="852" t="s">
        <v>515</v>
      </c>
    </row>
    <row r="5" spans="1:21" ht="1.5" customHeight="1">
      <c r="A5" s="853"/>
      <c r="B5" s="1376"/>
      <c r="C5" s="1376"/>
      <c r="D5" s="1376"/>
      <c r="E5" s="1377"/>
      <c r="F5" s="1342"/>
      <c r="G5" s="1342"/>
      <c r="H5" s="1342"/>
      <c r="I5" s="1342"/>
      <c r="J5" s="1342"/>
      <c r="K5" s="1351"/>
      <c r="L5" s="1370"/>
      <c r="M5" s="1371"/>
      <c r="N5" s="1372"/>
      <c r="O5" s="1358"/>
      <c r="P5" s="1342"/>
      <c r="Q5" s="1342"/>
      <c r="R5" s="1391"/>
      <c r="S5" s="1388"/>
      <c r="T5" s="853"/>
      <c r="U5" s="541"/>
    </row>
    <row r="6" spans="1:21" ht="15.75" customHeight="1">
      <c r="A6" s="853"/>
      <c r="B6" s="1378"/>
      <c r="C6" s="1378"/>
      <c r="D6" s="1378"/>
      <c r="E6" s="1379"/>
      <c r="F6" s="1343"/>
      <c r="G6" s="1343"/>
      <c r="H6" s="1343"/>
      <c r="I6" s="1343"/>
      <c r="J6" s="1343"/>
      <c r="K6" s="1352"/>
      <c r="L6" s="582" t="s">
        <v>523</v>
      </c>
      <c r="M6" s="582" t="s">
        <v>524</v>
      </c>
      <c r="N6" s="582" t="s">
        <v>525</v>
      </c>
      <c r="O6" s="1359"/>
      <c r="P6" s="1343"/>
      <c r="Q6" s="1343"/>
      <c r="R6" s="1392"/>
      <c r="S6" s="1389"/>
      <c r="T6" s="853"/>
      <c r="U6" s="541"/>
    </row>
    <row r="7" spans="1:21" s="661" customFormat="1" ht="10.5">
      <c r="A7" s="870"/>
      <c r="B7" s="1383" t="s">
        <v>527</v>
      </c>
      <c r="C7" s="1383"/>
      <c r="D7" s="1383"/>
      <c r="E7" s="1384"/>
      <c r="F7" s="659" t="s">
        <v>411</v>
      </c>
      <c r="G7" s="659" t="s">
        <v>411</v>
      </c>
      <c r="H7" s="659" t="s">
        <v>411</v>
      </c>
      <c r="I7" s="659" t="s">
        <v>411</v>
      </c>
      <c r="J7" s="659" t="s">
        <v>411</v>
      </c>
      <c r="K7" s="659" t="s">
        <v>411</v>
      </c>
      <c r="L7" s="659" t="s">
        <v>411</v>
      </c>
      <c r="M7" s="659" t="s">
        <v>411</v>
      </c>
      <c r="N7" s="659" t="s">
        <v>411</v>
      </c>
      <c r="O7" s="659" t="s">
        <v>411</v>
      </c>
      <c r="P7" s="659" t="s">
        <v>411</v>
      </c>
      <c r="Q7" s="659" t="s">
        <v>411</v>
      </c>
      <c r="R7" s="659" t="s">
        <v>411</v>
      </c>
      <c r="S7" s="660" t="s">
        <v>411</v>
      </c>
      <c r="T7" s="870"/>
      <c r="U7" s="871"/>
    </row>
    <row r="8" spans="1:21" ht="14.25" customHeight="1">
      <c r="A8" s="853"/>
      <c r="B8" s="1385"/>
      <c r="C8" s="1385"/>
      <c r="D8" s="1385"/>
      <c r="E8" s="1386"/>
      <c r="F8" s="653">
        <f>F33</f>
        <v>100</v>
      </c>
      <c r="G8" s="840">
        <f aca="true" t="shared" si="0" ref="G8:S8">G33</f>
        <v>100</v>
      </c>
      <c r="H8" s="840">
        <f t="shared" si="0"/>
        <v>100</v>
      </c>
      <c r="I8" s="840">
        <f t="shared" si="0"/>
        <v>100</v>
      </c>
      <c r="J8" s="840">
        <f t="shared" si="0"/>
        <v>100</v>
      </c>
      <c r="K8" s="840">
        <f t="shared" si="0"/>
        <v>100</v>
      </c>
      <c r="L8" s="840">
        <f t="shared" si="0"/>
        <v>100</v>
      </c>
      <c r="M8" s="840">
        <f t="shared" si="0"/>
        <v>100</v>
      </c>
      <c r="N8" s="840">
        <f t="shared" si="0"/>
        <v>100</v>
      </c>
      <c r="O8" s="840">
        <f t="shared" si="0"/>
        <v>100</v>
      </c>
      <c r="P8" s="840">
        <f t="shared" si="0"/>
        <v>100</v>
      </c>
      <c r="Q8" s="840">
        <f t="shared" si="0"/>
        <v>100</v>
      </c>
      <c r="R8" s="840">
        <f t="shared" si="0"/>
        <v>100</v>
      </c>
      <c r="S8" s="841">
        <f t="shared" si="0"/>
        <v>100</v>
      </c>
      <c r="T8" s="853"/>
      <c r="U8" s="541"/>
    </row>
    <row r="9" spans="1:21" ht="14.25" customHeight="1">
      <c r="A9" s="853"/>
      <c r="B9" s="662"/>
      <c r="C9" s="655" t="s">
        <v>550</v>
      </c>
      <c r="D9" s="656"/>
      <c r="E9" s="656"/>
      <c r="F9" s="842">
        <f>F34</f>
        <v>85.6</v>
      </c>
      <c r="G9" s="842">
        <f aca="true" t="shared" si="1" ref="G9:S9">G34</f>
        <v>85.7</v>
      </c>
      <c r="H9" s="842">
        <f t="shared" si="1"/>
        <v>93.5</v>
      </c>
      <c r="I9" s="842">
        <f t="shared" si="1"/>
        <v>83.1</v>
      </c>
      <c r="J9" s="842">
        <f t="shared" si="1"/>
        <v>86</v>
      </c>
      <c r="K9" s="842">
        <f t="shared" si="1"/>
        <v>96.6</v>
      </c>
      <c r="L9" s="842">
        <f t="shared" si="1"/>
        <v>85.1</v>
      </c>
      <c r="M9" s="842">
        <f t="shared" si="1"/>
        <v>100</v>
      </c>
      <c r="N9" s="842">
        <f t="shared" si="1"/>
        <v>100</v>
      </c>
      <c r="O9" s="842">
        <f t="shared" si="1"/>
        <v>97.8</v>
      </c>
      <c r="P9" s="842">
        <f t="shared" si="1"/>
        <v>98.5</v>
      </c>
      <c r="Q9" s="842">
        <f t="shared" si="1"/>
        <v>98.2</v>
      </c>
      <c r="R9" s="842">
        <f t="shared" si="1"/>
        <v>75.4</v>
      </c>
      <c r="S9" s="843">
        <f t="shared" si="1"/>
        <v>99.1</v>
      </c>
      <c r="T9" s="853"/>
      <c r="U9" s="541"/>
    </row>
    <row r="10" spans="1:21" ht="14.25" customHeight="1">
      <c r="A10" s="853"/>
      <c r="B10" s="638"/>
      <c r="C10" s="664"/>
      <c r="D10" s="657" t="s">
        <v>452</v>
      </c>
      <c r="E10" s="657"/>
      <c r="F10" s="844"/>
      <c r="G10" s="845">
        <f aca="true" t="shared" si="2" ref="G10:S10">G35</f>
        <v>71.8</v>
      </c>
      <c r="H10" s="845">
        <f t="shared" si="2"/>
        <v>80.5</v>
      </c>
      <c r="I10" s="845">
        <f t="shared" si="2"/>
        <v>69.2</v>
      </c>
      <c r="J10" s="845">
        <f t="shared" si="2"/>
        <v>72.4</v>
      </c>
      <c r="K10" s="845">
        <f t="shared" si="2"/>
        <v>89.6</v>
      </c>
      <c r="L10" s="845">
        <f t="shared" si="2"/>
        <v>68.5</v>
      </c>
      <c r="M10" s="845">
        <f t="shared" si="2"/>
        <v>96.4</v>
      </c>
      <c r="N10" s="845">
        <f t="shared" si="2"/>
        <v>93.2</v>
      </c>
      <c r="O10" s="845">
        <f t="shared" si="2"/>
        <v>79.9</v>
      </c>
      <c r="P10" s="845">
        <f t="shared" si="2"/>
        <v>81.1</v>
      </c>
      <c r="Q10" s="845">
        <f t="shared" si="2"/>
        <v>90.6</v>
      </c>
      <c r="R10" s="845">
        <f t="shared" si="2"/>
        <v>23.7</v>
      </c>
      <c r="S10" s="846">
        <f t="shared" si="2"/>
        <v>0</v>
      </c>
      <c r="T10" s="853"/>
      <c r="U10" s="541"/>
    </row>
    <row r="11" spans="1:21" ht="14.25" customHeight="1">
      <c r="A11" s="853"/>
      <c r="B11" s="639"/>
      <c r="C11" s="672"/>
      <c r="D11" s="664"/>
      <c r="E11" s="657" t="s">
        <v>497</v>
      </c>
      <c r="F11" s="844"/>
      <c r="G11" s="845">
        <f aca="true" t="shared" si="3" ref="G11:S11">G36</f>
        <v>45.4</v>
      </c>
      <c r="H11" s="845">
        <f t="shared" si="3"/>
        <v>52.9</v>
      </c>
      <c r="I11" s="845">
        <f t="shared" si="3"/>
        <v>44.4</v>
      </c>
      <c r="J11" s="845">
        <f t="shared" si="3"/>
        <v>45.7</v>
      </c>
      <c r="K11" s="845">
        <f t="shared" si="3"/>
        <v>52.6</v>
      </c>
      <c r="L11" s="845">
        <f t="shared" si="3"/>
        <v>43</v>
      </c>
      <c r="M11" s="845">
        <f t="shared" si="3"/>
        <v>64.6</v>
      </c>
      <c r="N11" s="845">
        <f t="shared" si="3"/>
        <v>63.7</v>
      </c>
      <c r="O11" s="845">
        <f t="shared" si="3"/>
        <v>54.2</v>
      </c>
      <c r="P11" s="845">
        <f t="shared" si="3"/>
        <v>46</v>
      </c>
      <c r="Q11" s="845">
        <f t="shared" si="3"/>
        <v>51.2</v>
      </c>
      <c r="R11" s="845">
        <f t="shared" si="3"/>
        <v>0</v>
      </c>
      <c r="S11" s="846">
        <f t="shared" si="3"/>
        <v>0</v>
      </c>
      <c r="T11" s="853"/>
      <c r="U11" s="541"/>
    </row>
    <row r="12" spans="1:21" ht="14.25" customHeight="1">
      <c r="A12" s="853"/>
      <c r="B12" s="639"/>
      <c r="C12" s="672"/>
      <c r="D12" s="654"/>
      <c r="E12" s="657" t="s">
        <v>498</v>
      </c>
      <c r="F12" s="844"/>
      <c r="G12" s="845">
        <f aca="true" t="shared" si="4" ref="G12:S12">G37</f>
        <v>26.4</v>
      </c>
      <c r="H12" s="845">
        <f t="shared" si="4"/>
        <v>27.5</v>
      </c>
      <c r="I12" s="845">
        <f t="shared" si="4"/>
        <v>24.8</v>
      </c>
      <c r="J12" s="845">
        <f t="shared" si="4"/>
        <v>26.6</v>
      </c>
      <c r="K12" s="845">
        <f t="shared" si="4"/>
        <v>37</v>
      </c>
      <c r="L12" s="845">
        <f t="shared" si="4"/>
        <v>25.5</v>
      </c>
      <c r="M12" s="845">
        <f t="shared" si="4"/>
        <v>31.8</v>
      </c>
      <c r="N12" s="845">
        <f t="shared" si="4"/>
        <v>29.6</v>
      </c>
      <c r="O12" s="845">
        <f t="shared" si="4"/>
        <v>25.8</v>
      </c>
      <c r="P12" s="845">
        <f t="shared" si="4"/>
        <v>35.1</v>
      </c>
      <c r="Q12" s="845">
        <f t="shared" si="4"/>
        <v>39.4</v>
      </c>
      <c r="R12" s="845">
        <f t="shared" si="4"/>
        <v>0</v>
      </c>
      <c r="S12" s="846">
        <f t="shared" si="4"/>
        <v>0</v>
      </c>
      <c r="T12" s="853"/>
      <c r="U12" s="541"/>
    </row>
    <row r="13" spans="1:21" ht="14.25" customHeight="1">
      <c r="A13" s="853"/>
      <c r="B13" s="639"/>
      <c r="C13" s="672"/>
      <c r="D13" s="657" t="s">
        <v>453</v>
      </c>
      <c r="E13" s="657"/>
      <c r="F13" s="844"/>
      <c r="G13" s="845">
        <f aca="true" t="shared" si="5" ref="G13:S13">G38</f>
        <v>2.3</v>
      </c>
      <c r="H13" s="845">
        <f t="shared" si="5"/>
        <v>1.6</v>
      </c>
      <c r="I13" s="845">
        <f t="shared" si="5"/>
        <v>2.3</v>
      </c>
      <c r="J13" s="845">
        <f t="shared" si="5"/>
        <v>3</v>
      </c>
      <c r="K13" s="845">
        <f t="shared" si="5"/>
        <v>0.9</v>
      </c>
      <c r="L13" s="845">
        <f t="shared" si="5"/>
        <v>2</v>
      </c>
      <c r="M13" s="845">
        <f t="shared" si="5"/>
        <v>0.7</v>
      </c>
      <c r="N13" s="845">
        <f t="shared" si="5"/>
        <v>2.1</v>
      </c>
      <c r="O13" s="845">
        <f t="shared" si="5"/>
        <v>1.3</v>
      </c>
      <c r="P13" s="845">
        <f t="shared" si="5"/>
        <v>7.4</v>
      </c>
      <c r="Q13" s="845">
        <f t="shared" si="5"/>
        <v>1.7</v>
      </c>
      <c r="R13" s="845">
        <f t="shared" si="5"/>
        <v>0</v>
      </c>
      <c r="S13" s="846">
        <f t="shared" si="5"/>
        <v>0</v>
      </c>
      <c r="T13" s="853"/>
      <c r="U13" s="541"/>
    </row>
    <row r="14" spans="1:21" ht="14.25" customHeight="1">
      <c r="A14" s="853"/>
      <c r="B14" s="639"/>
      <c r="C14" s="672"/>
      <c r="D14" s="657" t="s">
        <v>454</v>
      </c>
      <c r="E14" s="657"/>
      <c r="F14" s="844"/>
      <c r="G14" s="845">
        <f aca="true" t="shared" si="6" ref="G14:S14">G39</f>
        <v>5.6</v>
      </c>
      <c r="H14" s="845">
        <f t="shared" si="6"/>
        <v>7.2</v>
      </c>
      <c r="I14" s="845">
        <f t="shared" si="6"/>
        <v>5.9</v>
      </c>
      <c r="J14" s="845">
        <f t="shared" si="6"/>
        <v>5.4</v>
      </c>
      <c r="K14" s="845">
        <f t="shared" si="6"/>
        <v>2.7</v>
      </c>
      <c r="L14" s="845">
        <f t="shared" si="6"/>
        <v>6</v>
      </c>
      <c r="M14" s="845">
        <f t="shared" si="6"/>
        <v>0.6</v>
      </c>
      <c r="N14" s="845">
        <f t="shared" si="6"/>
        <v>0.3</v>
      </c>
      <c r="O14" s="845">
        <f t="shared" si="6"/>
        <v>9.9</v>
      </c>
      <c r="P14" s="845">
        <f t="shared" si="6"/>
        <v>9.8</v>
      </c>
      <c r="Q14" s="845">
        <f t="shared" si="6"/>
        <v>3.6</v>
      </c>
      <c r="R14" s="845">
        <f t="shared" si="6"/>
        <v>0</v>
      </c>
      <c r="S14" s="846">
        <f t="shared" si="6"/>
        <v>0</v>
      </c>
      <c r="T14" s="853"/>
      <c r="U14" s="541"/>
    </row>
    <row r="15" spans="1:21" ht="14.25" customHeight="1">
      <c r="A15" s="853"/>
      <c r="B15" s="639"/>
      <c r="C15" s="672"/>
      <c r="D15" s="657" t="s">
        <v>455</v>
      </c>
      <c r="E15" s="657"/>
      <c r="F15" s="844"/>
      <c r="G15" s="845">
        <f aca="true" t="shared" si="7" ref="G15:S15">G40</f>
        <v>5.7</v>
      </c>
      <c r="H15" s="845">
        <f t="shared" si="7"/>
        <v>3.5</v>
      </c>
      <c r="I15" s="845">
        <f t="shared" si="7"/>
        <v>5.3</v>
      </c>
      <c r="J15" s="845">
        <f t="shared" si="7"/>
        <v>5</v>
      </c>
      <c r="K15" s="845">
        <f t="shared" si="7"/>
        <v>3.3</v>
      </c>
      <c r="L15" s="845">
        <f t="shared" si="7"/>
        <v>8.4</v>
      </c>
      <c r="M15" s="845">
        <f t="shared" si="7"/>
        <v>2.2</v>
      </c>
      <c r="N15" s="845">
        <f t="shared" si="7"/>
        <v>4.3</v>
      </c>
      <c r="O15" s="845">
        <f t="shared" si="7"/>
        <v>6.5</v>
      </c>
      <c r="P15" s="845">
        <f t="shared" si="7"/>
        <v>0</v>
      </c>
      <c r="Q15" s="845">
        <f t="shared" si="7"/>
        <v>2.2</v>
      </c>
      <c r="R15" s="845">
        <f t="shared" si="7"/>
        <v>0</v>
      </c>
      <c r="S15" s="846">
        <f t="shared" si="7"/>
        <v>0</v>
      </c>
      <c r="T15" s="853"/>
      <c r="U15" s="541"/>
    </row>
    <row r="16" spans="1:21" ht="14.25" customHeight="1">
      <c r="A16" s="853"/>
      <c r="B16" s="850"/>
      <c r="C16" s="654"/>
      <c r="D16" s="657" t="s">
        <v>456</v>
      </c>
      <c r="E16" s="657"/>
      <c r="F16" s="844"/>
      <c r="G16" s="845">
        <f aca="true" t="shared" si="8" ref="G16:S16">G41</f>
        <v>0.3</v>
      </c>
      <c r="H16" s="845">
        <f t="shared" si="8"/>
        <v>0.7</v>
      </c>
      <c r="I16" s="845">
        <f t="shared" si="8"/>
        <v>0.3</v>
      </c>
      <c r="J16" s="845">
        <f t="shared" si="8"/>
        <v>0.3</v>
      </c>
      <c r="K16" s="845">
        <f t="shared" si="8"/>
        <v>0</v>
      </c>
      <c r="L16" s="845">
        <f t="shared" si="8"/>
        <v>0.3</v>
      </c>
      <c r="M16" s="845">
        <f t="shared" si="8"/>
        <v>0.1</v>
      </c>
      <c r="N16" s="845">
        <f t="shared" si="8"/>
        <v>0.1</v>
      </c>
      <c r="O16" s="845">
        <f t="shared" si="8"/>
        <v>0.2</v>
      </c>
      <c r="P16" s="845">
        <f t="shared" si="8"/>
        <v>0.2</v>
      </c>
      <c r="Q16" s="845">
        <f t="shared" si="8"/>
        <v>0.1</v>
      </c>
      <c r="R16" s="845">
        <f t="shared" si="8"/>
        <v>0</v>
      </c>
      <c r="S16" s="846">
        <f t="shared" si="8"/>
        <v>0</v>
      </c>
      <c r="T16" s="853"/>
      <c r="U16" s="541"/>
    </row>
    <row r="17" spans="1:21" ht="14.25" customHeight="1">
      <c r="A17" s="853"/>
      <c r="B17" s="662"/>
      <c r="C17" s="655" t="s">
        <v>551</v>
      </c>
      <c r="D17" s="656"/>
      <c r="E17" s="656"/>
      <c r="F17" s="842">
        <f>F42</f>
        <v>9.2</v>
      </c>
      <c r="G17" s="842">
        <f aca="true" t="shared" si="9" ref="G17:S17">G42</f>
        <v>9.1</v>
      </c>
      <c r="H17" s="842">
        <f t="shared" si="9"/>
        <v>1.6</v>
      </c>
      <c r="I17" s="842">
        <f t="shared" si="9"/>
        <v>11</v>
      </c>
      <c r="J17" s="842">
        <f t="shared" si="9"/>
        <v>7.8999999999999995</v>
      </c>
      <c r="K17" s="842">
        <f t="shared" si="9"/>
        <v>1.2</v>
      </c>
      <c r="L17" s="842">
        <f t="shared" si="9"/>
        <v>10.7</v>
      </c>
      <c r="M17" s="842">
        <f t="shared" si="9"/>
        <v>0</v>
      </c>
      <c r="N17" s="842">
        <f t="shared" si="9"/>
        <v>0</v>
      </c>
      <c r="O17" s="842">
        <f t="shared" si="9"/>
        <v>0.4</v>
      </c>
      <c r="P17" s="842">
        <f t="shared" si="9"/>
        <v>1.5</v>
      </c>
      <c r="Q17" s="842">
        <f t="shared" si="9"/>
        <v>1.7</v>
      </c>
      <c r="R17" s="842">
        <f t="shared" si="9"/>
        <v>15.1</v>
      </c>
      <c r="S17" s="843">
        <f t="shared" si="9"/>
        <v>0.8</v>
      </c>
      <c r="T17" s="853"/>
      <c r="U17" s="541"/>
    </row>
    <row r="18" spans="1:21" ht="14.25" customHeight="1">
      <c r="A18" s="853"/>
      <c r="B18" s="638"/>
      <c r="C18" s="664"/>
      <c r="D18" s="657" t="s">
        <v>500</v>
      </c>
      <c r="E18" s="657"/>
      <c r="F18" s="844"/>
      <c r="G18" s="845">
        <f aca="true" t="shared" si="10" ref="G18:S18">G43</f>
        <v>0</v>
      </c>
      <c r="H18" s="845">
        <f t="shared" si="10"/>
        <v>0</v>
      </c>
      <c r="I18" s="845">
        <f t="shared" si="10"/>
        <v>0</v>
      </c>
      <c r="J18" s="845">
        <f t="shared" si="10"/>
        <v>0</v>
      </c>
      <c r="K18" s="845">
        <f t="shared" si="10"/>
        <v>0</v>
      </c>
      <c r="L18" s="845">
        <f t="shared" si="10"/>
        <v>0</v>
      </c>
      <c r="M18" s="845">
        <f t="shared" si="10"/>
        <v>0</v>
      </c>
      <c r="N18" s="845">
        <f t="shared" si="10"/>
        <v>0</v>
      </c>
      <c r="O18" s="845">
        <f t="shared" si="10"/>
        <v>0</v>
      </c>
      <c r="P18" s="845">
        <f t="shared" si="10"/>
        <v>0</v>
      </c>
      <c r="Q18" s="845">
        <f t="shared" si="10"/>
        <v>0</v>
      </c>
      <c r="R18" s="845">
        <f t="shared" si="10"/>
        <v>0</v>
      </c>
      <c r="S18" s="846">
        <f t="shared" si="10"/>
        <v>0</v>
      </c>
      <c r="T18" s="853"/>
      <c r="U18" s="541"/>
    </row>
    <row r="19" spans="1:21" ht="14.25" customHeight="1">
      <c r="A19" s="853"/>
      <c r="B19" s="639"/>
      <c r="C19" s="672"/>
      <c r="D19" s="657" t="s">
        <v>501</v>
      </c>
      <c r="E19" s="657"/>
      <c r="F19" s="844"/>
      <c r="G19" s="845">
        <f aca="true" t="shared" si="11" ref="G19:S19">G44</f>
        <v>7.4</v>
      </c>
      <c r="H19" s="845">
        <f t="shared" si="11"/>
        <v>1.1</v>
      </c>
      <c r="I19" s="845">
        <f t="shared" si="11"/>
        <v>9.2</v>
      </c>
      <c r="J19" s="845">
        <f t="shared" si="11"/>
        <v>6.1</v>
      </c>
      <c r="K19" s="845">
        <f t="shared" si="11"/>
        <v>1</v>
      </c>
      <c r="L19" s="845">
        <f t="shared" si="11"/>
        <v>8.7</v>
      </c>
      <c r="M19" s="845">
        <f t="shared" si="11"/>
        <v>0</v>
      </c>
      <c r="N19" s="845">
        <f t="shared" si="11"/>
        <v>0</v>
      </c>
      <c r="O19" s="845">
        <f t="shared" si="11"/>
        <v>0.2</v>
      </c>
      <c r="P19" s="845">
        <f t="shared" si="11"/>
        <v>0</v>
      </c>
      <c r="Q19" s="845">
        <f t="shared" si="11"/>
        <v>1.5</v>
      </c>
      <c r="R19" s="845">
        <f t="shared" si="11"/>
        <v>0</v>
      </c>
      <c r="S19" s="846">
        <f t="shared" si="11"/>
        <v>0</v>
      </c>
      <c r="T19" s="853"/>
      <c r="U19" s="541"/>
    </row>
    <row r="20" spans="1:21" ht="14.25" customHeight="1">
      <c r="A20" s="853"/>
      <c r="B20" s="639"/>
      <c r="C20" s="672"/>
      <c r="D20" s="657" t="s">
        <v>502</v>
      </c>
      <c r="E20" s="657"/>
      <c r="F20" s="844"/>
      <c r="G20" s="845">
        <f aca="true" t="shared" si="12" ref="G20:S20">G45</f>
        <v>1.6</v>
      </c>
      <c r="H20" s="845">
        <f t="shared" si="12"/>
        <v>0.5</v>
      </c>
      <c r="I20" s="845">
        <f t="shared" si="12"/>
        <v>1.8</v>
      </c>
      <c r="J20" s="845">
        <f t="shared" si="12"/>
        <v>1.6</v>
      </c>
      <c r="K20" s="845">
        <f t="shared" si="12"/>
        <v>0.3</v>
      </c>
      <c r="L20" s="845">
        <f t="shared" si="12"/>
        <v>2</v>
      </c>
      <c r="M20" s="845">
        <f t="shared" si="12"/>
        <v>0</v>
      </c>
      <c r="N20" s="845">
        <f t="shared" si="12"/>
        <v>0</v>
      </c>
      <c r="O20" s="845">
        <f t="shared" si="12"/>
        <v>0.1</v>
      </c>
      <c r="P20" s="845">
        <f t="shared" si="12"/>
        <v>1.5</v>
      </c>
      <c r="Q20" s="845">
        <f t="shared" si="12"/>
        <v>0.2</v>
      </c>
      <c r="R20" s="845">
        <f t="shared" si="12"/>
        <v>0</v>
      </c>
      <c r="S20" s="846">
        <f t="shared" si="12"/>
        <v>0</v>
      </c>
      <c r="T20" s="853"/>
      <c r="U20" s="541"/>
    </row>
    <row r="21" spans="1:21" ht="14.25" customHeight="1">
      <c r="A21" s="853"/>
      <c r="B21" s="850"/>
      <c r="C21" s="654"/>
      <c r="D21" s="657" t="s">
        <v>503</v>
      </c>
      <c r="E21" s="657"/>
      <c r="F21" s="844"/>
      <c r="G21" s="845">
        <f aca="true" t="shared" si="13" ref="G21:S21">G46</f>
        <v>0.1</v>
      </c>
      <c r="H21" s="845">
        <f t="shared" si="13"/>
        <v>0</v>
      </c>
      <c r="I21" s="845">
        <f t="shared" si="13"/>
        <v>0.1</v>
      </c>
      <c r="J21" s="845">
        <f t="shared" si="13"/>
        <v>0.1</v>
      </c>
      <c r="K21" s="845">
        <f t="shared" si="13"/>
        <v>0</v>
      </c>
      <c r="L21" s="845">
        <f t="shared" si="13"/>
        <v>0</v>
      </c>
      <c r="M21" s="845">
        <f t="shared" si="13"/>
        <v>0</v>
      </c>
      <c r="N21" s="845">
        <f t="shared" si="13"/>
        <v>0</v>
      </c>
      <c r="O21" s="845">
        <f t="shared" si="13"/>
        <v>0</v>
      </c>
      <c r="P21" s="845">
        <f t="shared" si="13"/>
        <v>0</v>
      </c>
      <c r="Q21" s="845">
        <f t="shared" si="13"/>
        <v>0</v>
      </c>
      <c r="R21" s="845">
        <f t="shared" si="13"/>
        <v>0</v>
      </c>
      <c r="S21" s="846">
        <f t="shared" si="13"/>
        <v>0</v>
      </c>
      <c r="T21" s="853"/>
      <c r="U21" s="541"/>
    </row>
    <row r="22" spans="1:21" ht="14.25" customHeight="1" thickBot="1">
      <c r="A22" s="853"/>
      <c r="B22" s="851"/>
      <c r="C22" s="770" t="s">
        <v>552</v>
      </c>
      <c r="D22" s="686"/>
      <c r="E22" s="686"/>
      <c r="F22" s="847">
        <f>F47</f>
        <v>5.2</v>
      </c>
      <c r="G22" s="847">
        <f aca="true" t="shared" si="14" ref="G22:S22">G47</f>
        <v>5.2</v>
      </c>
      <c r="H22" s="847">
        <f t="shared" si="14"/>
        <v>4.9</v>
      </c>
      <c r="I22" s="847">
        <f t="shared" si="14"/>
        <v>5.9</v>
      </c>
      <c r="J22" s="847">
        <f t="shared" si="14"/>
        <v>6.1</v>
      </c>
      <c r="K22" s="847">
        <f t="shared" si="14"/>
        <v>2.2</v>
      </c>
      <c r="L22" s="847">
        <f t="shared" si="14"/>
        <v>4.2</v>
      </c>
      <c r="M22" s="847">
        <f t="shared" si="14"/>
        <v>0</v>
      </c>
      <c r="N22" s="847">
        <f t="shared" si="14"/>
        <v>0</v>
      </c>
      <c r="O22" s="847">
        <f t="shared" si="14"/>
        <v>1.8</v>
      </c>
      <c r="P22" s="847">
        <f t="shared" si="14"/>
        <v>0</v>
      </c>
      <c r="Q22" s="847">
        <f t="shared" si="14"/>
        <v>0.1</v>
      </c>
      <c r="R22" s="847">
        <f t="shared" si="14"/>
        <v>9.5</v>
      </c>
      <c r="S22" s="848">
        <f t="shared" si="14"/>
        <v>0.1</v>
      </c>
      <c r="T22" s="853"/>
      <c r="U22" s="541"/>
    </row>
    <row r="23" spans="1:21" ht="14.25" thickTop="1">
      <c r="A23" s="541"/>
      <c r="B23" s="541"/>
      <c r="C23" s="541"/>
      <c r="D23" s="541"/>
      <c r="E23" s="541"/>
      <c r="F23" s="541"/>
      <c r="G23" s="541"/>
      <c r="H23" s="541"/>
      <c r="I23" s="541"/>
      <c r="J23" s="541"/>
      <c r="K23" s="541"/>
      <c r="L23" s="541"/>
      <c r="M23" s="541"/>
      <c r="N23" s="541"/>
      <c r="O23" s="541"/>
      <c r="P23" s="541"/>
      <c r="Q23" s="541"/>
      <c r="R23" s="541"/>
      <c r="S23" s="541"/>
      <c r="T23" s="541"/>
      <c r="U23" s="541"/>
    </row>
    <row r="24" spans="1:21" ht="13.5">
      <c r="A24" s="541"/>
      <c r="B24" s="541"/>
      <c r="C24" s="541"/>
      <c r="D24" s="541"/>
      <c r="E24" s="541"/>
      <c r="F24" s="541"/>
      <c r="G24" s="541"/>
      <c r="H24" s="541"/>
      <c r="I24" s="541"/>
      <c r="J24" s="541"/>
      <c r="K24" s="541"/>
      <c r="L24" s="541"/>
      <c r="M24" s="541"/>
      <c r="N24" s="541"/>
      <c r="O24" s="541"/>
      <c r="P24" s="541"/>
      <c r="Q24" s="541"/>
      <c r="R24" s="541"/>
      <c r="S24" s="541"/>
      <c r="T24" s="541"/>
      <c r="U24" s="541"/>
    </row>
    <row r="25" spans="1:21" ht="13.5">
      <c r="A25" s="541"/>
      <c r="B25" s="541"/>
      <c r="C25" s="541"/>
      <c r="D25" s="541"/>
      <c r="E25" s="541"/>
      <c r="F25" s="541"/>
      <c r="G25" s="541"/>
      <c r="H25" s="541"/>
      <c r="I25" s="541"/>
      <c r="J25" s="541"/>
      <c r="K25" s="541"/>
      <c r="L25" s="541"/>
      <c r="M25" s="541"/>
      <c r="N25" s="541"/>
      <c r="O25" s="541"/>
      <c r="P25" s="541"/>
      <c r="Q25" s="541"/>
      <c r="R25" s="541"/>
      <c r="S25" s="541"/>
      <c r="T25" s="541"/>
      <c r="U25" s="541"/>
    </row>
    <row r="26" spans="1:21" ht="13.5">
      <c r="A26" s="541"/>
      <c r="B26" s="541"/>
      <c r="C26" s="541"/>
      <c r="D26" s="541"/>
      <c r="E26" s="541"/>
      <c r="F26" s="541"/>
      <c r="G26" s="541"/>
      <c r="H26" s="541"/>
      <c r="I26" s="541"/>
      <c r="J26" s="541"/>
      <c r="K26" s="541"/>
      <c r="L26" s="541"/>
      <c r="M26" s="541"/>
      <c r="N26" s="541"/>
      <c r="O26" s="541"/>
      <c r="P26" s="541"/>
      <c r="Q26" s="541"/>
      <c r="R26" s="541"/>
      <c r="S26" s="541"/>
      <c r="T26" s="541"/>
      <c r="U26" s="541"/>
    </row>
    <row r="28" spans="2:19" ht="13.5">
      <c r="B28" s="1360" t="s">
        <v>513</v>
      </c>
      <c r="C28" s="1361"/>
      <c r="D28" s="1361"/>
      <c r="E28" s="1362"/>
      <c r="F28" s="1356" t="s">
        <v>492</v>
      </c>
      <c r="G28" s="1380" t="s">
        <v>493</v>
      </c>
      <c r="H28" s="1381"/>
      <c r="I28" s="1381"/>
      <c r="J28" s="1381"/>
      <c r="K28" s="1381"/>
      <c r="L28" s="1381"/>
      <c r="M28" s="1381"/>
      <c r="N28" s="1381"/>
      <c r="O28" s="1381"/>
      <c r="P28" s="1381"/>
      <c r="Q28" s="1382"/>
      <c r="R28" s="1347" t="s">
        <v>505</v>
      </c>
      <c r="S28" s="1353" t="s">
        <v>506</v>
      </c>
    </row>
    <row r="29" spans="2:19" ht="13.5">
      <c r="B29" s="1363"/>
      <c r="C29" s="1363"/>
      <c r="D29" s="1363"/>
      <c r="E29" s="1364"/>
      <c r="F29" s="1348"/>
      <c r="G29" s="1356" t="s">
        <v>494</v>
      </c>
      <c r="H29" s="1356" t="s">
        <v>421</v>
      </c>
      <c r="I29" s="1356" t="s">
        <v>422</v>
      </c>
      <c r="J29" s="1356" t="s">
        <v>423</v>
      </c>
      <c r="K29" s="1347" t="s">
        <v>512</v>
      </c>
      <c r="L29" s="1347" t="s">
        <v>511</v>
      </c>
      <c r="M29" s="1347" t="s">
        <v>510</v>
      </c>
      <c r="N29" s="1347" t="s">
        <v>509</v>
      </c>
      <c r="O29" s="1347" t="s">
        <v>508</v>
      </c>
      <c r="P29" s="1356" t="s">
        <v>430</v>
      </c>
      <c r="Q29" s="1350" t="s">
        <v>507</v>
      </c>
      <c r="R29" s="1348"/>
      <c r="S29" s="1354"/>
    </row>
    <row r="30" spans="2:21" ht="13.5">
      <c r="B30" s="1363"/>
      <c r="C30" s="1363"/>
      <c r="D30" s="1363"/>
      <c r="E30" s="1364"/>
      <c r="F30" s="1348"/>
      <c r="G30" s="1348"/>
      <c r="H30" s="1348"/>
      <c r="I30" s="1348"/>
      <c r="J30" s="1348"/>
      <c r="K30" s="1348"/>
      <c r="L30" s="1348"/>
      <c r="M30" s="1348"/>
      <c r="N30" s="1348"/>
      <c r="O30" s="1348"/>
      <c r="P30" s="1348"/>
      <c r="Q30" s="1342"/>
      <c r="R30" s="1348"/>
      <c r="S30" s="1354"/>
      <c r="U30" s="500" t="s">
        <v>514</v>
      </c>
    </row>
    <row r="31" spans="2:21" ht="13.5">
      <c r="B31" s="1365"/>
      <c r="C31" s="1365"/>
      <c r="D31" s="1365"/>
      <c r="E31" s="1366"/>
      <c r="F31" s="1349"/>
      <c r="G31" s="1349"/>
      <c r="H31" s="1349"/>
      <c r="I31" s="1349"/>
      <c r="J31" s="1349"/>
      <c r="K31" s="1349"/>
      <c r="L31" s="1349"/>
      <c r="M31" s="1349"/>
      <c r="N31" s="1349"/>
      <c r="O31" s="1349"/>
      <c r="P31" s="1349"/>
      <c r="Q31" s="1343"/>
      <c r="R31" s="1349"/>
      <c r="S31" s="1355"/>
      <c r="U31" s="490" t="s">
        <v>553</v>
      </c>
    </row>
    <row r="32" spans="2:19" ht="13.5">
      <c r="B32" s="559"/>
      <c r="C32" s="561"/>
      <c r="D32" s="561"/>
      <c r="E32" s="562"/>
      <c r="F32" s="574" t="s">
        <v>411</v>
      </c>
      <c r="G32" s="574" t="s">
        <v>411</v>
      </c>
      <c r="H32" s="574" t="s">
        <v>411</v>
      </c>
      <c r="I32" s="574" t="s">
        <v>411</v>
      </c>
      <c r="J32" s="574" t="s">
        <v>411</v>
      </c>
      <c r="K32" s="574" t="s">
        <v>411</v>
      </c>
      <c r="L32" s="574" t="s">
        <v>411</v>
      </c>
      <c r="M32" s="574" t="s">
        <v>411</v>
      </c>
      <c r="N32" s="574" t="s">
        <v>411</v>
      </c>
      <c r="O32" s="574" t="s">
        <v>411</v>
      </c>
      <c r="P32" s="574" t="s">
        <v>411</v>
      </c>
      <c r="Q32" s="574" t="s">
        <v>411</v>
      </c>
      <c r="R32" s="574" t="s">
        <v>411</v>
      </c>
      <c r="S32" s="575" t="s">
        <v>411</v>
      </c>
    </row>
    <row r="33" spans="2:19" ht="13.5">
      <c r="B33" s="540" t="s">
        <v>495</v>
      </c>
      <c r="C33" s="545"/>
      <c r="D33" s="545"/>
      <c r="E33" s="545"/>
      <c r="F33" s="653">
        <f>ROUND('表５'!E14/'表５'!$E$14*100,1)</f>
        <v>100</v>
      </c>
      <c r="G33" s="653">
        <f>ROUND('表５'!F14/'表５'!$F$14*100,1)</f>
        <v>100</v>
      </c>
      <c r="H33" s="653">
        <f>ROUND('表５'!G14/'表５'!$G$14*100,1)</f>
        <v>100</v>
      </c>
      <c r="I33" s="653">
        <f>ROUND('表５'!H14/'表５'!$H$14*100,1)</f>
        <v>100</v>
      </c>
      <c r="J33" s="653">
        <f>ROUND('表５'!I14/'表５'!$I$14*100,1)</f>
        <v>100</v>
      </c>
      <c r="K33" s="653">
        <f>ROUND('表５'!J14/'表５'!$J$14*100,1)</f>
        <v>100</v>
      </c>
      <c r="L33" s="653">
        <f>ROUND('表５'!K14/'表５'!$K$14*100,1)</f>
        <v>100</v>
      </c>
      <c r="M33" s="653">
        <f>ROUND('表５'!L14/'表５'!$L$14*100,1)</f>
        <v>100</v>
      </c>
      <c r="N33" s="653">
        <f>ROUND('表５'!M14/'表５'!$M$14*100,1)</f>
        <v>100</v>
      </c>
      <c r="O33" s="653">
        <f>ROUND('表５'!N14/'表５'!$N$14*100,1)</f>
        <v>100</v>
      </c>
      <c r="P33" s="653">
        <f>ROUND('表５'!O14/'表５'!$O$14*100,1)</f>
        <v>100</v>
      </c>
      <c r="Q33" s="653">
        <f>ROUND('表５'!P14/'表５'!$P$14*100,1)</f>
        <v>100</v>
      </c>
      <c r="R33" s="653">
        <f>ROUND('表５'!Q14/'表５'!$Q$14*100,1)</f>
        <v>100</v>
      </c>
      <c r="S33" s="874">
        <f>ROUND('表５'!R14/'表５'!$R$14*100,1)</f>
        <v>100</v>
      </c>
    </row>
    <row r="34" spans="2:19" ht="13.5">
      <c r="B34" s="572"/>
      <c r="C34" s="546" t="s">
        <v>496</v>
      </c>
      <c r="D34" s="546"/>
      <c r="E34" s="546"/>
      <c r="F34" s="875">
        <f>ROUND('表５'!E15/'表５'!$E$14*100,1)</f>
        <v>85.6</v>
      </c>
      <c r="G34" s="875">
        <f>ROUND('表５'!F15/'表５'!$F$14*100,1)</f>
        <v>85.7</v>
      </c>
      <c r="H34" s="875">
        <f>ROUND('表５'!G15/'表５'!$G$14*100,1)</f>
        <v>93.5</v>
      </c>
      <c r="I34" s="875">
        <f>ROUND('表５'!H15/'表５'!$H$14*100,1)</f>
        <v>83.1</v>
      </c>
      <c r="J34" s="875">
        <f>ROUND('表５'!I15/'表５'!$I$14*100,1)</f>
        <v>86</v>
      </c>
      <c r="K34" s="875">
        <f>ROUND('表５'!J15/'表５'!$J$14*100,1)</f>
        <v>96.6</v>
      </c>
      <c r="L34" s="875">
        <f>ROUND('表５'!K15/'表５'!$K$14*100,1)</f>
        <v>85.1</v>
      </c>
      <c r="M34" s="875">
        <f>ROUND('表５'!L15/'表５'!$L$14*100,1)</f>
        <v>100</v>
      </c>
      <c r="N34" s="875">
        <f>ROUND('表５'!M15/'表５'!$M$14*100,1)</f>
        <v>100</v>
      </c>
      <c r="O34" s="875">
        <f>ROUND('表５'!N15/'表５'!$N$14*100,1)</f>
        <v>97.8</v>
      </c>
      <c r="P34" s="875">
        <f>ROUND('表５'!O15/'表５'!$O$14*100,1)</f>
        <v>98.5</v>
      </c>
      <c r="Q34" s="875">
        <f>ROUND('表５'!P15/'表５'!$P$14*100,1)</f>
        <v>98.2</v>
      </c>
      <c r="R34" s="875">
        <f>ROUND('表５'!Q15/'表５'!$Q$14*100,1)</f>
        <v>75.4</v>
      </c>
      <c r="S34" s="876">
        <f>ROUND('表５'!R15/'表５'!$R$14*100,1)</f>
        <v>99.1</v>
      </c>
    </row>
    <row r="35" spans="2:19" ht="13.5">
      <c r="B35" s="560"/>
      <c r="C35" s="547"/>
      <c r="D35" s="547" t="s">
        <v>452</v>
      </c>
      <c r="E35" s="547"/>
      <c r="F35" s="877"/>
      <c r="G35" s="878">
        <f>ROUND('表５'!F16/'表５'!$F$14*100,1)</f>
        <v>71.8</v>
      </c>
      <c r="H35" s="879">
        <f>ROUND('表５'!G16/'表５'!$G$14*100,1)</f>
        <v>80.5</v>
      </c>
      <c r="I35" s="879">
        <f>ROUND('表５'!H16/'表５'!$H$14*100,1)</f>
        <v>69.2</v>
      </c>
      <c r="J35" s="879">
        <f>ROUND('表５'!I16/'表５'!$I$14*100,1)</f>
        <v>72.4</v>
      </c>
      <c r="K35" s="879">
        <f>ROUND('表５'!J16/'表５'!$J$14*100,1)</f>
        <v>89.6</v>
      </c>
      <c r="L35" s="879">
        <f>ROUND('表５'!K16/'表５'!$K$14*100,1)</f>
        <v>68.5</v>
      </c>
      <c r="M35" s="879">
        <f>ROUND('表５'!L16/'表５'!$L$14*100,1)</f>
        <v>96.4</v>
      </c>
      <c r="N35" s="879">
        <f>ROUND('表５'!M16/'表５'!$M$14*100,1)</f>
        <v>93.2</v>
      </c>
      <c r="O35" s="879">
        <f>ROUND('表５'!N16/'表５'!$N$14*100,1)</f>
        <v>79.9</v>
      </c>
      <c r="P35" s="879">
        <f>ROUND('表５'!O16/'表５'!$O$14*100,1)</f>
        <v>81.1</v>
      </c>
      <c r="Q35" s="879">
        <f>ROUND('表５'!P16/'表５'!$P$14*100,1)</f>
        <v>90.6</v>
      </c>
      <c r="R35" s="879">
        <f>ROUND('表５'!Q16/'表５'!$Q$14*100,1)</f>
        <v>23.7</v>
      </c>
      <c r="S35" s="880">
        <f>ROUND('表５'!R16/'表５'!$R$14*100,1)</f>
        <v>0</v>
      </c>
    </row>
    <row r="36" spans="2:19" ht="13.5">
      <c r="B36" s="560"/>
      <c r="C36" s="547"/>
      <c r="D36" s="547"/>
      <c r="E36" s="547" t="s">
        <v>497</v>
      </c>
      <c r="F36" s="877"/>
      <c r="G36" s="878">
        <f>ROUND('表５'!F17/'表５'!$F$14*100,1)</f>
        <v>45.4</v>
      </c>
      <c r="H36" s="879">
        <f>ROUND('表５'!G17/'表５'!$G$14*100,1)</f>
        <v>52.9</v>
      </c>
      <c r="I36" s="879">
        <f>ROUND('表５'!H17/'表５'!$H$14*100,1)</f>
        <v>44.4</v>
      </c>
      <c r="J36" s="879">
        <f>ROUND('表５'!I17/'表５'!$I$14*100,1)</f>
        <v>45.7</v>
      </c>
      <c r="K36" s="879">
        <f>ROUND('表５'!J17/'表５'!$J$14*100,1)</f>
        <v>52.6</v>
      </c>
      <c r="L36" s="879">
        <f>ROUND('表５'!K17/'表５'!$K$14*100,1)</f>
        <v>43</v>
      </c>
      <c r="M36" s="879">
        <f>ROUND('表５'!L17/'表５'!$L$14*100,1)</f>
        <v>64.6</v>
      </c>
      <c r="N36" s="879">
        <f>ROUND('表５'!M17/'表５'!$M$14*100,1)</f>
        <v>63.7</v>
      </c>
      <c r="O36" s="879">
        <f>ROUND('表５'!N17/'表５'!$N$14*100,1)</f>
        <v>54.2</v>
      </c>
      <c r="P36" s="879">
        <f>ROUND('表５'!O17/'表５'!$O$14*100,1)</f>
        <v>46</v>
      </c>
      <c r="Q36" s="879">
        <f>ROUND('表５'!P17/'表５'!$P$14*100,1)</f>
        <v>51.2</v>
      </c>
      <c r="R36" s="879">
        <f>ROUND('表５'!Q17/'表５'!$Q$14*100,1)</f>
        <v>0</v>
      </c>
      <c r="S36" s="880">
        <f>ROUND('表５'!R17/'表５'!$R$14*100,1)</f>
        <v>0</v>
      </c>
    </row>
    <row r="37" spans="2:19" ht="13.5">
      <c r="B37" s="560"/>
      <c r="C37" s="547"/>
      <c r="D37" s="547"/>
      <c r="E37" s="547" t="s">
        <v>498</v>
      </c>
      <c r="F37" s="877"/>
      <c r="G37" s="878">
        <f>ROUND('表５'!F18/'表５'!$F$14*100,1)</f>
        <v>26.4</v>
      </c>
      <c r="H37" s="879">
        <f>ROUND('表５'!G18/'表５'!$G$14*100,1)</f>
        <v>27.5</v>
      </c>
      <c r="I37" s="879">
        <f>ROUND('表５'!H18/'表５'!$H$14*100,1)</f>
        <v>24.8</v>
      </c>
      <c r="J37" s="879">
        <f>ROUND('表５'!I18/'表５'!$I$14*100,1)</f>
        <v>26.6</v>
      </c>
      <c r="K37" s="879">
        <f>ROUND('表５'!J18/'表５'!$J$14*100,1)</f>
        <v>37</v>
      </c>
      <c r="L37" s="879">
        <f>ROUND('表５'!K18/'表５'!$K$14*100,1)</f>
        <v>25.5</v>
      </c>
      <c r="M37" s="879">
        <f>ROUND('表５'!L18/'表５'!$L$14*100,1)</f>
        <v>31.8</v>
      </c>
      <c r="N37" s="879">
        <f>ROUND('表５'!M18/'表５'!$M$14*100,1)</f>
        <v>29.6</v>
      </c>
      <c r="O37" s="879">
        <f>ROUND('表５'!N18/'表５'!$N$14*100,1)</f>
        <v>25.8</v>
      </c>
      <c r="P37" s="879">
        <f>ROUND('表５'!O18/'表５'!$O$14*100,1)</f>
        <v>35.1</v>
      </c>
      <c r="Q37" s="879">
        <f>ROUND('表５'!P18/'表５'!$P$14*100,1)</f>
        <v>39.4</v>
      </c>
      <c r="R37" s="879">
        <f>ROUND('表５'!Q18/'表５'!$Q$14*100,1)</f>
        <v>0</v>
      </c>
      <c r="S37" s="880">
        <f>ROUND('表５'!R18/'表５'!$R$14*100,1)</f>
        <v>0</v>
      </c>
    </row>
    <row r="38" spans="2:19" ht="13.5">
      <c r="B38" s="560"/>
      <c r="C38" s="547"/>
      <c r="D38" s="547" t="s">
        <v>453</v>
      </c>
      <c r="E38" s="547"/>
      <c r="F38" s="877"/>
      <c r="G38" s="878">
        <f>ROUND('表５'!F19/'表５'!$F$14*100,1)</f>
        <v>2.3</v>
      </c>
      <c r="H38" s="879">
        <f>ROUND('表５'!G19/'表５'!$G$14*100,1)</f>
        <v>1.6</v>
      </c>
      <c r="I38" s="879">
        <f>ROUND('表５'!H19/'表５'!$H$14*100,1)</f>
        <v>2.3</v>
      </c>
      <c r="J38" s="879">
        <f>ROUND('表５'!I19/'表５'!$I$14*100,1)</f>
        <v>3</v>
      </c>
      <c r="K38" s="879">
        <f>ROUND('表５'!J19/'表５'!$J$14*100,1)</f>
        <v>0.9</v>
      </c>
      <c r="L38" s="879">
        <f>ROUND('表５'!K19/'表５'!$K$14*100,1)</f>
        <v>2</v>
      </c>
      <c r="M38" s="879">
        <f>ROUND('表５'!L19/'表５'!$L$14*100,1)</f>
        <v>0.7</v>
      </c>
      <c r="N38" s="879">
        <f>ROUND('表５'!M19/'表５'!$M$14*100,1)</f>
        <v>2.1</v>
      </c>
      <c r="O38" s="879">
        <f>ROUND('表５'!N19/'表５'!$N$14*100,1)</f>
        <v>1.3</v>
      </c>
      <c r="P38" s="879">
        <f>ROUND('表５'!O19/'表５'!$O$14*100,1)</f>
        <v>7.4</v>
      </c>
      <c r="Q38" s="879">
        <f>ROUND('表５'!P19/'表５'!$P$14*100,1)</f>
        <v>1.7</v>
      </c>
      <c r="R38" s="879">
        <f>ROUND('表５'!Q19/'表５'!$Q$14*100,1)</f>
        <v>0</v>
      </c>
      <c r="S38" s="880">
        <f>ROUND('表５'!R19/'表５'!$R$14*100,1)</f>
        <v>0</v>
      </c>
    </row>
    <row r="39" spans="2:19" ht="13.5">
      <c r="B39" s="560"/>
      <c r="C39" s="547"/>
      <c r="D39" s="547" t="s">
        <v>454</v>
      </c>
      <c r="E39" s="547"/>
      <c r="F39" s="877"/>
      <c r="G39" s="878">
        <f>ROUND('表５'!F20/'表５'!$F$14*100,1)</f>
        <v>5.6</v>
      </c>
      <c r="H39" s="879">
        <f>ROUND('表５'!G20/'表５'!$G$14*100,1)</f>
        <v>7.2</v>
      </c>
      <c r="I39" s="879">
        <f>ROUND('表５'!H20/'表５'!$H$14*100,1)</f>
        <v>5.9</v>
      </c>
      <c r="J39" s="879">
        <f>ROUND('表５'!I20/'表５'!$I$14*100,1)</f>
        <v>5.4</v>
      </c>
      <c r="K39" s="879">
        <f>ROUND('表５'!J20/'表５'!$J$14*100,1)</f>
        <v>2.7</v>
      </c>
      <c r="L39" s="879">
        <f>ROUND('表５'!K20/'表５'!$K$14*100,1)</f>
        <v>6</v>
      </c>
      <c r="M39" s="879">
        <f>ROUND('表５'!L20/'表５'!$L$14*100,1)</f>
        <v>0.6</v>
      </c>
      <c r="N39" s="879">
        <f>ROUND('表５'!M20/'表５'!$M$14*100,1)</f>
        <v>0.3</v>
      </c>
      <c r="O39" s="879">
        <f>ROUND('表５'!N20/'表５'!$N$14*100,1)</f>
        <v>9.9</v>
      </c>
      <c r="P39" s="879">
        <f>ROUND('表５'!O20/'表５'!$O$14*100,1)</f>
        <v>9.8</v>
      </c>
      <c r="Q39" s="879">
        <f>ROUND('表５'!P20/'表５'!$P$14*100,1)</f>
        <v>3.6</v>
      </c>
      <c r="R39" s="879">
        <f>ROUND('表５'!Q20/'表５'!$Q$14*100,1)</f>
        <v>0</v>
      </c>
      <c r="S39" s="880">
        <f>ROUND('表５'!R20/'表５'!$R$14*100,1)</f>
        <v>0</v>
      </c>
    </row>
    <row r="40" spans="2:19" ht="13.5">
      <c r="B40" s="560"/>
      <c r="C40" s="547"/>
      <c r="D40" s="547" t="s">
        <v>455</v>
      </c>
      <c r="E40" s="547"/>
      <c r="F40" s="877"/>
      <c r="G40" s="878">
        <f>ROUND('表５'!F21/'表５'!$F$14*100,1)</f>
        <v>5.7</v>
      </c>
      <c r="H40" s="879">
        <f>ROUND('表５'!G21/'表５'!$G$14*100,1)</f>
        <v>3.5</v>
      </c>
      <c r="I40" s="879">
        <f>ROUND('表５'!H21/'表５'!$H$14*100,1)</f>
        <v>5.3</v>
      </c>
      <c r="J40" s="879">
        <f>ROUND('表５'!I21/'表５'!$I$14*100,1)</f>
        <v>5</v>
      </c>
      <c r="K40" s="879">
        <f>ROUND('表５'!J21/'表５'!$J$14*100,1)</f>
        <v>3.3</v>
      </c>
      <c r="L40" s="879">
        <f>ROUND('表５'!K21/'表５'!$K$14*100,1)</f>
        <v>8.4</v>
      </c>
      <c r="M40" s="879">
        <f>ROUND('表５'!L21/'表５'!$L$14*100,1)</f>
        <v>2.2</v>
      </c>
      <c r="N40" s="879">
        <f>ROUND('表５'!M21/'表５'!$M$14*100,1)</f>
        <v>4.3</v>
      </c>
      <c r="O40" s="879">
        <f>ROUND('表５'!N21/'表５'!$N$14*100,1)</f>
        <v>6.5</v>
      </c>
      <c r="P40" s="879">
        <f>ROUND('表５'!O21/'表５'!$O$14*100,1)</f>
        <v>0</v>
      </c>
      <c r="Q40" s="879">
        <f>ROUND('表５'!P21/'表５'!$P$14*100,1)</f>
        <v>2.2</v>
      </c>
      <c r="R40" s="879">
        <f>ROUND('表５'!Q21/'表５'!$Q$14*100,1)</f>
        <v>0</v>
      </c>
      <c r="S40" s="880">
        <f>ROUND('表５'!R21/'表５'!$R$14*100,1)</f>
        <v>0</v>
      </c>
    </row>
    <row r="41" spans="2:19" ht="13.5">
      <c r="B41" s="560"/>
      <c r="C41" s="547"/>
      <c r="D41" s="547" t="s">
        <v>456</v>
      </c>
      <c r="E41" s="547"/>
      <c r="F41" s="877"/>
      <c r="G41" s="878">
        <f>ROUND('表５'!F22/'表５'!$F$14*100,1)</f>
        <v>0.3</v>
      </c>
      <c r="H41" s="879">
        <f>ROUND('表５'!G22/'表５'!$G$14*100,1)</f>
        <v>0.7</v>
      </c>
      <c r="I41" s="879">
        <f>ROUND('表５'!H22/'表５'!$H$14*100,1)</f>
        <v>0.3</v>
      </c>
      <c r="J41" s="879">
        <f>ROUND('表５'!I22/'表５'!$I$14*100,1)</f>
        <v>0.3</v>
      </c>
      <c r="K41" s="879">
        <f>ROUND('表５'!J22/'表５'!$J$14*100,1)</f>
        <v>0</v>
      </c>
      <c r="L41" s="879">
        <f>ROUND('表５'!K22/'表５'!$K$14*100,1)</f>
        <v>0.3</v>
      </c>
      <c r="M41" s="879">
        <f>ROUND('表５'!L22/'表５'!$L$14*100,1)</f>
        <v>0.1</v>
      </c>
      <c r="N41" s="879">
        <f>ROUND('表５'!M22/'表５'!$M$14*100,1)</f>
        <v>0.1</v>
      </c>
      <c r="O41" s="879">
        <f>ROUND('表５'!N22/'表５'!$N$14*100,1)</f>
        <v>0.2</v>
      </c>
      <c r="P41" s="879">
        <f>ROUND('表５'!O22/'表５'!$O$14*100,1)</f>
        <v>0.2</v>
      </c>
      <c r="Q41" s="879">
        <f>ROUND('表５'!P22/'表５'!$P$14*100,1)</f>
        <v>0.1</v>
      </c>
      <c r="R41" s="879">
        <f>ROUND('表５'!Q22/'表５'!$Q$14*100,1)</f>
        <v>0</v>
      </c>
      <c r="S41" s="880">
        <f>ROUND('表５'!R22/'表５'!$R$14*100,1)</f>
        <v>0</v>
      </c>
    </row>
    <row r="42" spans="2:19" ht="13.5">
      <c r="B42" s="572"/>
      <c r="C42" s="546" t="s">
        <v>499</v>
      </c>
      <c r="D42" s="546"/>
      <c r="E42" s="546"/>
      <c r="F42" s="881">
        <f>ROUND('表５'!E23/'表５'!$E$14*100,1)+0.1</f>
        <v>9.2</v>
      </c>
      <c r="G42" s="875">
        <f>ROUND('表５'!F23/'表５'!$F$14*100,1)</f>
        <v>9.1</v>
      </c>
      <c r="H42" s="875">
        <f>ROUND('表５'!G23/'表５'!$G$14*100,1)</f>
        <v>1.6</v>
      </c>
      <c r="I42" s="875">
        <f>ROUND('表５'!H23/'表５'!$H$14*100,1)</f>
        <v>11</v>
      </c>
      <c r="J42" s="881">
        <f>ROUND('表５'!I23/'表５'!$I$14*100,1)+0.1</f>
        <v>7.8999999999999995</v>
      </c>
      <c r="K42" s="875">
        <f>ROUND('表５'!J23/'表５'!$J$14*100,1)</f>
        <v>1.2</v>
      </c>
      <c r="L42" s="875">
        <f>ROUND('表５'!K23/'表５'!$K$14*100,1)</f>
        <v>10.7</v>
      </c>
      <c r="M42" s="875">
        <f>ROUND('表５'!L23/'表５'!$L$14*100,1)</f>
        <v>0</v>
      </c>
      <c r="N42" s="875">
        <f>ROUND('表５'!M23/'表５'!$M$14*100,1)</f>
        <v>0</v>
      </c>
      <c r="O42" s="881">
        <f>ROUND('表５'!N23/'表５'!$N$14*100,1)+0.1</f>
        <v>0.4</v>
      </c>
      <c r="P42" s="875">
        <f>ROUND('表５'!O23/'表５'!$O$14*100,1)</f>
        <v>1.5</v>
      </c>
      <c r="Q42" s="875">
        <f>ROUND('表５'!P23/'表５'!$P$14*100,1)</f>
        <v>1.7</v>
      </c>
      <c r="R42" s="875">
        <f>ROUND('表５'!Q23/'表５'!$Q$14*100,1)</f>
        <v>15.1</v>
      </c>
      <c r="S42" s="876">
        <f>ROUND('表５'!R23/'表５'!$R$14*100,1)</f>
        <v>0.8</v>
      </c>
    </row>
    <row r="43" spans="2:19" ht="13.5">
      <c r="B43" s="560"/>
      <c r="C43" s="547"/>
      <c r="D43" s="547" t="s">
        <v>500</v>
      </c>
      <c r="E43" s="547"/>
      <c r="F43" s="882"/>
      <c r="G43" s="878">
        <f>ROUND('表５'!F24/'表５'!$F$14*100,1)</f>
        <v>0</v>
      </c>
      <c r="H43" s="879">
        <f>ROUND('表５'!G24/'表５'!$G$14*100,1)</f>
        <v>0</v>
      </c>
      <c r="I43" s="879">
        <f>ROUND('表５'!H24/'表５'!$H$14*100,1)</f>
        <v>0</v>
      </c>
      <c r="J43" s="879">
        <f>ROUND('表５'!I24/'表５'!$I$14*100,1)</f>
        <v>0</v>
      </c>
      <c r="K43" s="879">
        <f>ROUND('表５'!J24/'表５'!$J$14*100,1)</f>
        <v>0</v>
      </c>
      <c r="L43" s="879">
        <f>ROUND('表５'!K24/'表５'!$K$14*100,1)</f>
        <v>0</v>
      </c>
      <c r="M43" s="879">
        <f>ROUND('表５'!L24/'表５'!$L$14*100,1)</f>
        <v>0</v>
      </c>
      <c r="N43" s="879">
        <f>ROUND('表５'!M24/'表５'!$M$14*100,1)</f>
        <v>0</v>
      </c>
      <c r="O43" s="879">
        <f>ROUND('表５'!N24/'表５'!$N$14*100,1)</f>
        <v>0</v>
      </c>
      <c r="P43" s="879">
        <f>ROUND('表５'!O24/'表５'!$O$14*100,1)</f>
        <v>0</v>
      </c>
      <c r="Q43" s="879">
        <f>ROUND('表５'!P24/'表５'!$P$14*100,1)</f>
        <v>0</v>
      </c>
      <c r="R43" s="879">
        <f>ROUND('表５'!Q24/'表５'!$Q$14*100,1)</f>
        <v>0</v>
      </c>
      <c r="S43" s="880">
        <f>ROUND('表５'!R24/'表５'!$R$14*100,1)</f>
        <v>0</v>
      </c>
    </row>
    <row r="44" spans="2:19" ht="13.5">
      <c r="B44" s="560"/>
      <c r="C44" s="547"/>
      <c r="D44" s="547" t="s">
        <v>501</v>
      </c>
      <c r="E44" s="547"/>
      <c r="F44" s="882"/>
      <c r="G44" s="878">
        <f>ROUND('表５'!F25/'表５'!$F$14*100,1)</f>
        <v>7.4</v>
      </c>
      <c r="H44" s="879">
        <f>ROUND('表５'!G25/'表５'!$G$14*100,1)</f>
        <v>1.1</v>
      </c>
      <c r="I44" s="879">
        <f>ROUND('表５'!H25/'表５'!$H$14*100,1)</f>
        <v>9.2</v>
      </c>
      <c r="J44" s="879">
        <f>ROUND('表５'!I25/'表５'!$I$14*100,1)</f>
        <v>6.1</v>
      </c>
      <c r="K44" s="879">
        <f>ROUND('表５'!J25/'表５'!$J$14*100,1)</f>
        <v>1</v>
      </c>
      <c r="L44" s="879">
        <f>ROUND('表５'!K25/'表５'!$K$14*100,1)</f>
        <v>8.7</v>
      </c>
      <c r="M44" s="879">
        <f>ROUND('表５'!L25/'表５'!$L$14*100,1)</f>
        <v>0</v>
      </c>
      <c r="N44" s="879">
        <f>ROUND('表５'!M25/'表５'!$M$14*100,1)</f>
        <v>0</v>
      </c>
      <c r="O44" s="879">
        <f>ROUND('表５'!N25/'表５'!$N$14*100,1)</f>
        <v>0.2</v>
      </c>
      <c r="P44" s="879">
        <f>ROUND('表５'!O25/'表５'!$O$14*100,1)</f>
        <v>0</v>
      </c>
      <c r="Q44" s="879">
        <f>ROUND('表５'!P25/'表５'!$P$14*100,1)</f>
        <v>1.5</v>
      </c>
      <c r="R44" s="879">
        <f>ROUND('表５'!Q25/'表５'!$Q$14*100,1)</f>
        <v>0</v>
      </c>
      <c r="S44" s="880">
        <f>ROUND('表５'!R25/'表５'!$R$14*100,1)</f>
        <v>0</v>
      </c>
    </row>
    <row r="45" spans="2:19" ht="13.5">
      <c r="B45" s="560"/>
      <c r="C45" s="547"/>
      <c r="D45" s="547" t="s">
        <v>502</v>
      </c>
      <c r="E45" s="547"/>
      <c r="F45" s="882"/>
      <c r="G45" s="878">
        <f>ROUND('表５'!F26/'表５'!$F$14*100,1)</f>
        <v>1.6</v>
      </c>
      <c r="H45" s="879">
        <f>ROUND('表５'!G26/'表５'!$G$14*100,1)</f>
        <v>0.5</v>
      </c>
      <c r="I45" s="879">
        <f>ROUND('表５'!H26/'表５'!$H$14*100,1)</f>
        <v>1.8</v>
      </c>
      <c r="J45" s="879">
        <f>ROUND('表５'!I26/'表５'!$I$14*100,1)</f>
        <v>1.6</v>
      </c>
      <c r="K45" s="879">
        <f>ROUND('表５'!J26/'表５'!$J$14*100,1)</f>
        <v>0.3</v>
      </c>
      <c r="L45" s="879">
        <f>ROUND('表５'!K26/'表５'!$K$14*100,1)</f>
        <v>2</v>
      </c>
      <c r="M45" s="879">
        <f>ROUND('表５'!L26/'表５'!$L$14*100,1)</f>
        <v>0</v>
      </c>
      <c r="N45" s="879">
        <f>ROUND('表５'!M26/'表５'!$M$14*100,1)</f>
        <v>0</v>
      </c>
      <c r="O45" s="879">
        <f>ROUND('表５'!N26/'表５'!$N$14*100,1)</f>
        <v>0.1</v>
      </c>
      <c r="P45" s="879">
        <f>ROUND('表５'!O26/'表５'!$O$14*100,1)</f>
        <v>1.5</v>
      </c>
      <c r="Q45" s="879">
        <f>ROUND('表５'!P26/'表５'!$P$14*100,1)</f>
        <v>0.2</v>
      </c>
      <c r="R45" s="879">
        <f>ROUND('表５'!Q26/'表５'!$Q$14*100,1)</f>
        <v>0</v>
      </c>
      <c r="S45" s="880">
        <f>ROUND('表５'!R26/'表５'!$R$14*100,1)</f>
        <v>0</v>
      </c>
    </row>
    <row r="46" spans="2:19" ht="13.5">
      <c r="B46" s="560"/>
      <c r="C46" s="547"/>
      <c r="D46" s="547" t="s">
        <v>503</v>
      </c>
      <c r="E46" s="547"/>
      <c r="F46" s="882"/>
      <c r="G46" s="878">
        <f>ROUND('表５'!F27/'表５'!$F$14*100,1)</f>
        <v>0.1</v>
      </c>
      <c r="H46" s="879">
        <f>ROUND('表５'!G27/'表５'!$G$14*100,1)</f>
        <v>0</v>
      </c>
      <c r="I46" s="879">
        <f>ROUND('表５'!H27/'表５'!$H$14*100,1)</f>
        <v>0.1</v>
      </c>
      <c r="J46" s="879">
        <f>ROUND('表５'!I27/'表５'!$I$14*100,1)</f>
        <v>0.1</v>
      </c>
      <c r="K46" s="879">
        <f>ROUND('表５'!J27/'表５'!$J$14*100,1)</f>
        <v>0</v>
      </c>
      <c r="L46" s="879">
        <f>ROUND('表５'!K27/'表５'!$K$14*100,1)</f>
        <v>0</v>
      </c>
      <c r="M46" s="879">
        <f>ROUND('表５'!L27/'表５'!$L$14*100,1)</f>
        <v>0</v>
      </c>
      <c r="N46" s="879">
        <f>ROUND('表５'!M27/'表５'!$M$14*100,1)</f>
        <v>0</v>
      </c>
      <c r="O46" s="879">
        <f>ROUND('表５'!N27/'表５'!$N$14*100,1)</f>
        <v>0</v>
      </c>
      <c r="P46" s="879">
        <f>ROUND('表５'!O27/'表５'!$O$14*100,1)</f>
        <v>0</v>
      </c>
      <c r="Q46" s="879">
        <f>ROUND('表５'!P27/'表５'!$P$14*100,1)</f>
        <v>0</v>
      </c>
      <c r="R46" s="879">
        <f>ROUND('表５'!Q27/'表５'!$Q$14*100,1)</f>
        <v>0</v>
      </c>
      <c r="S46" s="880">
        <f>ROUND('表５'!R27/'表５'!$R$14*100,1)</f>
        <v>0</v>
      </c>
    </row>
    <row r="47" spans="2:19" ht="13.5">
      <c r="B47" s="572"/>
      <c r="C47" s="546" t="s">
        <v>504</v>
      </c>
      <c r="D47" s="546"/>
      <c r="E47" s="546"/>
      <c r="F47" s="578">
        <f>ROUND('表５'!E28/'表５'!$E$14*100,1)</f>
        <v>5.2</v>
      </c>
      <c r="G47" s="578">
        <f>ROUND('表５'!F28/'表５'!$F$14*100,1)</f>
        <v>5.2</v>
      </c>
      <c r="H47" s="578">
        <f>ROUND('表５'!G28/'表５'!$G$14*100,1)</f>
        <v>4.9</v>
      </c>
      <c r="I47" s="578">
        <f>ROUND('表５'!H28/'表５'!$H$14*100,1)</f>
        <v>5.9</v>
      </c>
      <c r="J47" s="578">
        <f>ROUND('表５'!I28/'表５'!$I$14*100,1)</f>
        <v>6.1</v>
      </c>
      <c r="K47" s="578">
        <f>ROUND('表５'!J28/'表５'!$J$14*100,1)</f>
        <v>2.2</v>
      </c>
      <c r="L47" s="578">
        <f>ROUND('表５'!K28/'表５'!$K$14*100,1)</f>
        <v>4.2</v>
      </c>
      <c r="M47" s="578">
        <f>ROUND('表５'!L28/'表５'!$L$14*100,1)</f>
        <v>0</v>
      </c>
      <c r="N47" s="578">
        <f>ROUND('表５'!M28/'表５'!$M$14*100,1)</f>
        <v>0</v>
      </c>
      <c r="O47" s="578">
        <f>ROUND('表５'!N28/'表５'!$N$14*100,1)</f>
        <v>1.8</v>
      </c>
      <c r="P47" s="578">
        <f>ROUND('表５'!O28/'表５'!$O$14*100,1)</f>
        <v>0</v>
      </c>
      <c r="Q47" s="578">
        <f>ROUND('表５'!P28/'表５'!$P$14*100,1)</f>
        <v>0.1</v>
      </c>
      <c r="R47" s="578">
        <f>ROUND('表５'!Q28/'表５'!$Q$14*100,1)</f>
        <v>9.5</v>
      </c>
      <c r="S47" s="891">
        <f>ROUND('表５'!R28/'表５'!$R$14*100,1)+0.1</f>
        <v>0.1</v>
      </c>
    </row>
    <row r="49" spans="6:19" ht="13.5">
      <c r="F49">
        <f>SUM(F34,F42,F47)</f>
        <v>100</v>
      </c>
      <c r="G49">
        <f>SUM(G34,G42,G47)</f>
        <v>100</v>
      </c>
      <c r="H49">
        <f aca="true" t="shared" si="15" ref="H49:S49">SUM(H34,H42,H47)</f>
        <v>100</v>
      </c>
      <c r="I49">
        <f t="shared" si="15"/>
        <v>100</v>
      </c>
      <c r="J49">
        <f t="shared" si="15"/>
        <v>100</v>
      </c>
      <c r="K49">
        <f t="shared" si="15"/>
        <v>100</v>
      </c>
      <c r="L49">
        <f t="shared" si="15"/>
        <v>100</v>
      </c>
      <c r="M49">
        <f t="shared" si="15"/>
        <v>100</v>
      </c>
      <c r="N49">
        <f t="shared" si="15"/>
        <v>100</v>
      </c>
      <c r="O49">
        <f t="shared" si="15"/>
        <v>100</v>
      </c>
      <c r="P49">
        <f t="shared" si="15"/>
        <v>100</v>
      </c>
      <c r="Q49">
        <f t="shared" si="15"/>
        <v>100</v>
      </c>
      <c r="R49">
        <f t="shared" si="15"/>
        <v>100</v>
      </c>
      <c r="S49">
        <f t="shared" si="15"/>
        <v>99.99999999999999</v>
      </c>
    </row>
    <row r="50" spans="6:19" ht="13.5">
      <c r="F50" s="577">
        <f>IF(F49=100,"","100にする")</f>
      </c>
      <c r="G50" s="577">
        <f>IF(G49=100,"","100にする")</f>
      </c>
      <c r="H50" s="577">
        <f aca="true" t="shared" si="16" ref="H50:S50">IF(H49=100,"","100にする")</f>
      </c>
      <c r="I50" s="577">
        <f t="shared" si="16"/>
      </c>
      <c r="J50" s="577">
        <f t="shared" si="16"/>
      </c>
      <c r="K50" s="577">
        <f t="shared" si="16"/>
      </c>
      <c r="L50" s="577">
        <f t="shared" si="16"/>
      </c>
      <c r="M50" s="577">
        <f t="shared" si="16"/>
      </c>
      <c r="N50" s="577">
        <f t="shared" si="16"/>
      </c>
      <c r="O50" s="577">
        <f t="shared" si="16"/>
      </c>
      <c r="P50" s="577">
        <f t="shared" si="16"/>
      </c>
      <c r="Q50" s="577">
        <f t="shared" si="16"/>
      </c>
      <c r="R50" s="577">
        <f t="shared" si="16"/>
      </c>
      <c r="S50" s="577">
        <f t="shared" si="16"/>
      </c>
    </row>
    <row r="54" spans="6:19" ht="13.5">
      <c r="F54" s="579">
        <f>'表５'!E15/'表５'!$E$14</f>
        <v>0.8563954579936868</v>
      </c>
      <c r="G54" s="579">
        <f>'表５'!F15/'表５'!$F$14*100</f>
        <v>85.72695110152205</v>
      </c>
      <c r="H54" s="579">
        <f>'表５'!G15/'表５'!$G$14</f>
        <v>0.9352387850970946</v>
      </c>
      <c r="I54" s="579">
        <f>'表５'!H15/'表５'!$H$14</f>
        <v>0.8312632774102497</v>
      </c>
      <c r="J54" s="579">
        <f>'表５'!I15/'表５'!$I$14</f>
        <v>0.8604371948197411</v>
      </c>
      <c r="K54" s="579">
        <f>'表５'!J15/'表５'!$J$14</f>
        <v>0.9657147093422557</v>
      </c>
      <c r="L54" s="579">
        <f>'表５'!K15/'表５'!$K$14</f>
        <v>0.8510207650616004</v>
      </c>
      <c r="M54" s="579">
        <f>'表５'!L15/'表５'!$L$14</f>
        <v>0.9997103663388396</v>
      </c>
      <c r="N54" s="579">
        <f>'表５'!M15/'表５'!$M$14</f>
        <v>1</v>
      </c>
      <c r="O54" s="579">
        <f>'表５'!N15/'表５'!$N$14</f>
        <v>0.9780845264065376</v>
      </c>
      <c r="P54" s="579">
        <f>'表５'!O15/'表５'!$O$14</f>
        <v>0.9847403454518027</v>
      </c>
      <c r="Q54" s="579">
        <f>'表５'!P15/'表５'!$P$14</f>
        <v>0.9823599432681592</v>
      </c>
      <c r="R54" s="579">
        <f>'表５'!Q15/'表５'!$Q$14</f>
        <v>0.7542107560978412</v>
      </c>
      <c r="S54" s="579">
        <f>'表５'!R15/'表５'!$R$14</f>
        <v>0.9914985879089877</v>
      </c>
    </row>
    <row r="55" spans="6:19" ht="13.5">
      <c r="F55">
        <f>'表５'!E16/'表５'!$E$14</f>
        <v>0.6256522603142113</v>
      </c>
      <c r="G55">
        <f>'表５'!F16/'表５'!$F$14*100</f>
        <v>71.7981137274527</v>
      </c>
      <c r="H55">
        <f>'表５'!G16/'表５'!$G$14</f>
        <v>0.8045267310639204</v>
      </c>
      <c r="I55">
        <f>'表５'!H16/'表５'!$H$14</f>
        <v>0.6920495723728128</v>
      </c>
      <c r="J55">
        <f>'表５'!I16/'表５'!$I$14</f>
        <v>0.7236606857689071</v>
      </c>
      <c r="K55">
        <f>'表５'!J16/'表５'!$J$14</f>
        <v>0.8960141203994652</v>
      </c>
      <c r="L55">
        <f>'表５'!K16/'表５'!$K$14</f>
        <v>0.6845936973157852</v>
      </c>
      <c r="M55">
        <f>'表５'!L16/'表５'!$L$14</f>
        <v>0.9635093414812693</v>
      </c>
      <c r="N55">
        <f>'表５'!M16/'表５'!$M$14</f>
        <v>0.9324732200982423</v>
      </c>
      <c r="O55">
        <f>'表５'!N16/'表５'!$N$14</f>
        <v>0.7990817190309895</v>
      </c>
      <c r="P55">
        <f>'表５'!O16/'表５'!$O$14</f>
        <v>0.8110386181927892</v>
      </c>
      <c r="Q55">
        <f>'表５'!P16/'表５'!$P$14</f>
        <v>0.9061911820377608</v>
      </c>
      <c r="R55">
        <f>'表５'!Q16/'表５'!$Q$14</f>
        <v>0.23736916784429968</v>
      </c>
      <c r="S55">
        <f>'表５'!R16/'表５'!$R$14</f>
        <v>0</v>
      </c>
    </row>
    <row r="56" spans="6:19" ht="13.5">
      <c r="F56">
        <f>'表５'!E17/'表５'!$E$14</f>
        <v>0.381435034849483</v>
      </c>
      <c r="G56">
        <f>'表５'!F17/'表５'!$F$14*100</f>
        <v>45.39136743837807</v>
      </c>
      <c r="H56">
        <f>'表５'!G17/'表５'!$G$14</f>
        <v>0.529050061288744</v>
      </c>
      <c r="I56">
        <f>'表５'!H17/'表５'!$H$14</f>
        <v>0.44434028604658654</v>
      </c>
      <c r="J56">
        <f>'表５'!I17/'表５'!$I$14</f>
        <v>0.45726625295900286</v>
      </c>
      <c r="K56">
        <f>'表５'!J17/'表５'!$J$14</f>
        <v>0.5256597655938555</v>
      </c>
      <c r="L56">
        <f>'表５'!K17/'表５'!$K$14</f>
        <v>0.4298748876035433</v>
      </c>
      <c r="M56">
        <f>'表５'!L17/'表５'!$L$14</f>
        <v>0.6457822761174237</v>
      </c>
      <c r="N56">
        <f>'表５'!M17/'表５'!$M$14</f>
        <v>0.6369059596378055</v>
      </c>
      <c r="O56">
        <f>'表５'!N17/'表５'!$N$14</f>
        <v>0.5415270094493738</v>
      </c>
      <c r="P56">
        <f>'表５'!O17/'表５'!$O$14</f>
        <v>0.45978371549253283</v>
      </c>
      <c r="Q56">
        <f>'表５'!P17/'表５'!$P$14</f>
        <v>0.5117222699134626</v>
      </c>
      <c r="R56">
        <f>'表５'!Q17/'表５'!$Q$14</f>
        <v>0</v>
      </c>
      <c r="S56">
        <f>'表５'!R17/'表５'!$R$14</f>
        <v>0</v>
      </c>
    </row>
    <row r="57" spans="6:19" ht="13.5">
      <c r="F57">
        <f>'表５'!E18/'表５'!$E$14</f>
        <v>0.2219025061253927</v>
      </c>
      <c r="G57">
        <f>'表５'!F18/'表５'!$F$14*100</f>
        <v>26.406746289074633</v>
      </c>
      <c r="H57">
        <f>'表５'!G18/'表５'!$G$14</f>
        <v>0.27547666977517643</v>
      </c>
      <c r="I57">
        <f>'表５'!H18/'表５'!$H$14</f>
        <v>0.24770928632622632</v>
      </c>
      <c r="J57">
        <f>'表５'!I18/'表５'!$I$14</f>
        <v>0.2663944328099042</v>
      </c>
      <c r="K57">
        <f>'表５'!J18/'表５'!$J$14</f>
        <v>0.3703543548056097</v>
      </c>
      <c r="L57">
        <f>'表５'!K18/'表５'!$K$14</f>
        <v>0.2547188097122419</v>
      </c>
      <c r="M57">
        <f>'表５'!L18/'表５'!$L$14</f>
        <v>0.31772706536384565</v>
      </c>
      <c r="N57">
        <f>'表５'!M18/'表５'!$M$14</f>
        <v>0.29556726046043674</v>
      </c>
      <c r="O57">
        <f>'表５'!N18/'表５'!$N$14</f>
        <v>0.25755470958161564</v>
      </c>
      <c r="P57">
        <f>'表５'!O18/'表５'!$O$14</f>
        <v>0.35125490270025644</v>
      </c>
      <c r="Q57">
        <f>'表５'!P18/'表５'!$P$14</f>
        <v>0.3944689121242982</v>
      </c>
      <c r="R57">
        <f>'表５'!Q18/'表５'!$Q$14</f>
        <v>0</v>
      </c>
      <c r="S57">
        <f>'表５'!R18/'表５'!$R$14</f>
        <v>0</v>
      </c>
    </row>
    <row r="58" spans="6:19" ht="13.5">
      <c r="F58">
        <f>'表５'!E19/'表５'!$E$14</f>
        <v>0.01923197413561437</v>
      </c>
      <c r="G58">
        <f>'表５'!F19/'表５'!$F$14*100</f>
        <v>2.288635088015798</v>
      </c>
      <c r="H58">
        <f>'表５'!G19/'表５'!$G$14</f>
        <v>0.016373567446739713</v>
      </c>
      <c r="I58">
        <f>'表５'!H19/'表５'!$H$14</f>
        <v>0.0234646084801966</v>
      </c>
      <c r="J58">
        <f>'表５'!I19/'表５'!$I$14</f>
        <v>0.029889305203513707</v>
      </c>
      <c r="K58">
        <f>'表５'!J19/'表５'!$J$14</f>
        <v>0.008578566303072641</v>
      </c>
      <c r="L58">
        <f>'表５'!K19/'表５'!$K$14</f>
        <v>0.019518030449942835</v>
      </c>
      <c r="M58">
        <f>'表５'!L19/'表５'!$L$14</f>
        <v>0.007230232237393509</v>
      </c>
      <c r="N58">
        <f>'表５'!M19/'表５'!$M$14</f>
        <v>0.020701899745516956</v>
      </c>
      <c r="O58">
        <f>'表５'!N19/'表５'!$N$14</f>
        <v>0.013116689646085169</v>
      </c>
      <c r="P58">
        <f>'表５'!O19/'表５'!$O$14</f>
        <v>0.07427119475033941</v>
      </c>
      <c r="Q58">
        <f>'表５'!P19/'表５'!$P$14</f>
        <v>0.016905582007901935</v>
      </c>
      <c r="R58">
        <f>'表５'!Q19/'表５'!$Q$14</f>
        <v>0</v>
      </c>
      <c r="S58">
        <f>'表５'!R19/'表５'!$R$14</f>
        <v>0</v>
      </c>
    </row>
    <row r="59" spans="6:19" ht="13.5">
      <c r="F59">
        <f>'表５'!E20/'表５'!$E$14</f>
        <v>0.04726161510553358</v>
      </c>
      <c r="G59">
        <f>'表５'!F20/'表５'!$F$14*100</f>
        <v>5.624206328695037</v>
      </c>
      <c r="H59">
        <f>'表５'!G20/'表５'!$G$14</f>
        <v>0.07199067580965744</v>
      </c>
      <c r="I59">
        <f>'表５'!H20/'表５'!$H$14</f>
        <v>0.05945979098458448</v>
      </c>
      <c r="J59">
        <f>'表５'!I20/'表５'!$I$14</f>
        <v>0.05395125341637534</v>
      </c>
      <c r="K59">
        <f>'表５'!J20/'表５'!$J$14</f>
        <v>0.027276046176248018</v>
      </c>
      <c r="L59">
        <f>'表５'!K20/'表５'!$K$14</f>
        <v>0.05960699599147768</v>
      </c>
      <c r="M59">
        <f>'表５'!L20/'表５'!$L$14</f>
        <v>0.005586852965827472</v>
      </c>
      <c r="N59">
        <f>'表５'!M20/'表５'!$M$14</f>
        <v>0.0029295141149316447</v>
      </c>
      <c r="O59">
        <f>'表５'!N20/'表５'!$N$14</f>
        <v>0.09930229544235995</v>
      </c>
      <c r="P59">
        <f>'表５'!O20/'表５'!$O$14</f>
        <v>0.09758259164278171</v>
      </c>
      <c r="Q59">
        <f>'表５'!P20/'表５'!$P$14</f>
        <v>0.036043247364688696</v>
      </c>
      <c r="R59">
        <f>'表５'!Q20/'表５'!$Q$14</f>
        <v>0</v>
      </c>
      <c r="S59">
        <f>'表５'!R20/'表５'!$R$14</f>
        <v>0</v>
      </c>
    </row>
    <row r="60" spans="6:19" ht="13.5">
      <c r="F60">
        <f>'表５'!E21/'表５'!$E$14</f>
        <v>0.04812760707417335</v>
      </c>
      <c r="G60">
        <f>'表５'!F21/'表５'!$F$14*100</f>
        <v>5.727260731295269</v>
      </c>
      <c r="H60">
        <f>'表５'!G21/'表５'!$G$14</f>
        <v>0.03486328693776532</v>
      </c>
      <c r="I60">
        <f>'表５'!H21/'表５'!$H$14</f>
        <v>0.05332887834082195</v>
      </c>
      <c r="J60">
        <f>'表５'!I21/'表５'!$I$14</f>
        <v>0.050048803269043866</v>
      </c>
      <c r="K60">
        <f>'表５'!J21/'表５'!$J$14</f>
        <v>0.033422748142581185</v>
      </c>
      <c r="L60">
        <f>'表５'!K21/'表５'!$K$14</f>
        <v>0.08380963531600773</v>
      </c>
      <c r="M60">
        <f>'表５'!L21/'表５'!$L$14</f>
        <v>0.022492759158470987</v>
      </c>
      <c r="N60">
        <f>'表５'!M21/'表５'!$M$14</f>
        <v>0.042841924602000356</v>
      </c>
      <c r="O60">
        <f>'表５'!N21/'表５'!$N$14</f>
        <v>0.06465242419500879</v>
      </c>
      <c r="P60">
        <f>'表５'!O21/'表５'!$O$14</f>
        <v>0</v>
      </c>
      <c r="Q60">
        <f>'表５'!P21/'表５'!$P$14</f>
        <v>0.022266847597161275</v>
      </c>
      <c r="R60">
        <f>'表５'!Q21/'表５'!$Q$14</f>
        <v>0</v>
      </c>
      <c r="S60">
        <f>'表５'!R21/'表５'!$R$14</f>
        <v>0</v>
      </c>
    </row>
    <row r="61" spans="6:19" ht="13.5">
      <c r="F61">
        <f>'表５'!E22/'表５'!$E$14</f>
        <v>0.002426314456492698</v>
      </c>
      <c r="G61">
        <f>'表５'!F22/'表５'!$F$14*100</f>
        <v>0.28873522606324875</v>
      </c>
      <c r="H61">
        <f>'表５'!G22/'表５'!$G$14</f>
        <v>0.007484523839011775</v>
      </c>
      <c r="I61">
        <f>'表５'!H22/'表５'!$H$14</f>
        <v>0.0029604272318338523</v>
      </c>
      <c r="J61">
        <f>'表５'!I22/'表５'!$I$14</f>
        <v>0.0028871471619011757</v>
      </c>
      <c r="K61">
        <f>'表５'!J22/'表５'!$J$14</f>
        <v>0.00042322832088859564</v>
      </c>
      <c r="L61">
        <f>'表５'!K22/'表５'!$K$14</f>
        <v>0.0034924059883869817</v>
      </c>
      <c r="M61">
        <f>'表５'!L22/'表５'!$L$14</f>
        <v>0.0008911804958782902</v>
      </c>
      <c r="N61">
        <f>'表５'!M22/'表５'!$M$14</f>
        <v>0.001053441439308753</v>
      </c>
      <c r="O61">
        <f>'表５'!N22/'表５'!$N$14</f>
        <v>0.0019313980920942276</v>
      </c>
      <c r="P61">
        <f>'表５'!O22/'表５'!$O$14</f>
        <v>0.0018479408658922914</v>
      </c>
      <c r="Q61">
        <f>'表５'!P22/'表５'!$P$14</f>
        <v>0.000953084260646551</v>
      </c>
      <c r="R61">
        <f>'表５'!Q22/'表５'!$Q$14</f>
        <v>0</v>
      </c>
      <c r="S61">
        <f>'表５'!R22/'表５'!$R$14</f>
        <v>0</v>
      </c>
    </row>
    <row r="62" spans="6:19" ht="13.5">
      <c r="F62" s="579">
        <f>'表５'!E23/'表５'!$E$14</f>
        <v>0.09131370060340131</v>
      </c>
      <c r="G62" s="579">
        <f>'表５'!F23/'表５'!$F$14*100</f>
        <v>9.117860984470628</v>
      </c>
      <c r="H62" s="579">
        <f>'表５'!G23/'表５'!$G$14</f>
        <v>0.0156699686493514</v>
      </c>
      <c r="I62" s="579">
        <f>'表５'!H23/'表５'!$H$14</f>
        <v>0.11005022432941539</v>
      </c>
      <c r="J62" s="579">
        <f>'表５'!I23/'表５'!$I$14</f>
        <v>0.07829977199568744</v>
      </c>
      <c r="K62" s="579">
        <f>'表５'!J23/'表５'!$J$14</f>
        <v>0.012393516014236298</v>
      </c>
      <c r="L62" s="579">
        <f>'表５'!K23/'表５'!$K$14</f>
        <v>0.1071213004955394</v>
      </c>
      <c r="M62" s="579">
        <f>'表５'!L23/'表５'!$L$14</f>
        <v>0.00028963366116044434</v>
      </c>
      <c r="N62" s="579">
        <f>'表５'!M23/'表５'!$M$14</f>
        <v>0</v>
      </c>
      <c r="O62" s="579">
        <f>'表５'!N23/'表５'!$N$14</f>
        <v>0.0034662007501071674</v>
      </c>
      <c r="P62" s="579">
        <f>'表５'!O23/'表５'!$O$14</f>
        <v>0.015259654548197315</v>
      </c>
      <c r="Q62" s="579">
        <f>'表５'!P23/'表５'!$P$14</f>
        <v>0.017067539682962853</v>
      </c>
      <c r="R62" s="579">
        <f>'表５'!Q23/'表５'!$Q$14</f>
        <v>0.1505211456933099</v>
      </c>
      <c r="S62" s="579">
        <f>'表５'!R23/'表５'!$R$14</f>
        <v>0.008280681636040316</v>
      </c>
    </row>
    <row r="63" spans="6:19" ht="13.5">
      <c r="F63">
        <f>'表５'!E24/'表５'!$E$14</f>
        <v>0</v>
      </c>
      <c r="G63">
        <f>'表５'!F24/'表５'!$F$14*100</f>
        <v>0</v>
      </c>
      <c r="H63">
        <f>'表５'!G24/'表５'!$G$14</f>
        <v>0</v>
      </c>
      <c r="I63">
        <f>'表５'!H24/'表５'!$H$14</f>
        <v>0</v>
      </c>
      <c r="J63">
        <f>'表５'!I24/'表５'!$I$14</f>
        <v>0</v>
      </c>
      <c r="K63">
        <f>'表５'!J24/'表５'!$J$14</f>
        <v>0</v>
      </c>
      <c r="L63">
        <f>'表５'!K24/'表５'!$K$14</f>
        <v>0</v>
      </c>
      <c r="M63">
        <f>'表５'!L24/'表５'!$L$14</f>
        <v>0</v>
      </c>
      <c r="N63">
        <f>'表５'!M24/'表５'!$M$14</f>
        <v>0</v>
      </c>
      <c r="O63">
        <f>'表５'!N24/'表５'!$N$14</f>
        <v>0</v>
      </c>
      <c r="P63">
        <f>'表５'!O24/'表５'!$O$14</f>
        <v>0</v>
      </c>
      <c r="Q63">
        <f>'表５'!P24/'表５'!$P$14</f>
        <v>0</v>
      </c>
      <c r="R63">
        <f>'表５'!Q24/'表５'!$Q$14</f>
        <v>0</v>
      </c>
      <c r="S63">
        <f>'表５'!R24/'表５'!$R$14</f>
        <v>0</v>
      </c>
    </row>
    <row r="64" spans="6:19" ht="13.5">
      <c r="F64">
        <f>'表５'!E25/'表５'!$E$14</f>
        <v>0.06246661155916692</v>
      </c>
      <c r="G64">
        <f>'表５'!F25/'表５'!$F$14*100</f>
        <v>7.433624756130404</v>
      </c>
      <c r="H64">
        <f>'表５'!G25/'表５'!$G$14</f>
        <v>0.010671806307485394</v>
      </c>
      <c r="I64">
        <f>'表５'!H25/'表５'!$H$14</f>
        <v>0.091589764254777</v>
      </c>
      <c r="J64">
        <f>'表５'!I25/'表５'!$I$14</f>
        <v>0.06134694252221027</v>
      </c>
      <c r="K64">
        <f>'表５'!J25/'表５'!$J$14</f>
        <v>0.009647627453570274</v>
      </c>
      <c r="L64">
        <f>'表５'!K25/'表５'!$K$14</f>
        <v>0.08663471657975229</v>
      </c>
      <c r="M64">
        <f>'表５'!L25/'表５'!$L$14</f>
        <v>7.850875797023032E-05</v>
      </c>
      <c r="N64">
        <f>'表５'!M25/'表５'!$M$14</f>
        <v>0</v>
      </c>
      <c r="O64">
        <f>'表５'!N25/'表５'!$N$14</f>
        <v>0.0024662601310628716</v>
      </c>
      <c r="P64">
        <f>'表５'!O25/'表５'!$O$14</f>
        <v>0</v>
      </c>
      <c r="Q64">
        <f>'表５'!P25/'表５'!$P$14</f>
        <v>0.015088056987773862</v>
      </c>
      <c r="R64">
        <f>'表５'!Q25/'表５'!$Q$14</f>
        <v>0</v>
      </c>
      <c r="S64">
        <f>'表５'!R25/'表５'!$R$14</f>
        <v>0</v>
      </c>
    </row>
    <row r="65" spans="6:19" ht="13.5">
      <c r="F65">
        <f>'表５'!E26/'表５'!$E$14</f>
        <v>0.013693379871099516</v>
      </c>
      <c r="G65">
        <f>'表５'!F26/'表５'!$F$14*100</f>
        <v>1.6295336831018703</v>
      </c>
      <c r="H65">
        <f>'表５'!G26/'表５'!$G$14</f>
        <v>0.004613224845673537</v>
      </c>
      <c r="I65">
        <f>'表５'!H26/'表５'!$H$14</f>
        <v>0.017736073687949144</v>
      </c>
      <c r="J65">
        <f>'表５'!I26/'表５'!$I$14</f>
        <v>0.01624149139337928</v>
      </c>
      <c r="K65">
        <f>'表５'!J26/'表５'!$J$14</f>
        <v>0.002696831642451599</v>
      </c>
      <c r="L65">
        <f>'表５'!K26/'表５'!$K$14</f>
        <v>0.020250994645898218</v>
      </c>
      <c r="M65">
        <f>'表５'!L26/'表５'!$L$14</f>
        <v>0.0002068811865431745</v>
      </c>
      <c r="N65">
        <f>'表５'!M26/'表５'!$M$14</f>
        <v>0</v>
      </c>
      <c r="O65">
        <f>'表５'!N26/'表５'!$N$14</f>
        <v>0.0008829124581678505</v>
      </c>
      <c r="P65">
        <f>'表５'!O26/'表５'!$O$14</f>
        <v>0.015259654548197315</v>
      </c>
      <c r="Q65">
        <f>'表５'!P26/'表５'!$P$14</f>
        <v>0.0019408261307711585</v>
      </c>
      <c r="R65">
        <f>'表５'!Q26/'表５'!$Q$14</f>
        <v>0</v>
      </c>
      <c r="S65">
        <f>'表５'!R26/'表５'!$R$14</f>
        <v>0</v>
      </c>
    </row>
    <row r="66" spans="6:19" ht="13.5">
      <c r="F66">
        <f>'表５'!E27/'表５'!$E$14</f>
        <v>0.0004596791951172824</v>
      </c>
      <c r="G66">
        <f>'表５'!F27/'表５'!$F$14*100</f>
        <v>0.05470254523835262</v>
      </c>
      <c r="H66">
        <f>'表５'!G27/'表５'!$G$14</f>
        <v>0.0003849374961924661</v>
      </c>
      <c r="I66">
        <f>'表５'!H27/'表５'!$H$14</f>
        <v>0.0007243863866892474</v>
      </c>
      <c r="J66">
        <f>'表５'!I27/'表５'!$I$14</f>
        <v>0.0007113380800978825</v>
      </c>
      <c r="K66">
        <f>'表５'!J27/'表５'!$J$14</f>
        <v>4.905691821442409E-05</v>
      </c>
      <c r="L66">
        <f>'表５'!K27/'表５'!$K$14</f>
        <v>0.00023558926988889346</v>
      </c>
      <c r="M66">
        <f>'表５'!L27/'表５'!$L$14</f>
        <v>4.243716647039477E-06</v>
      </c>
      <c r="N66">
        <f>'表５'!M27/'表５'!$M$14</f>
        <v>0</v>
      </c>
      <c r="O66">
        <f>'表５'!N27/'表５'!$N$14</f>
        <v>0.00011702816087644557</v>
      </c>
      <c r="P66">
        <f>'表５'!O27/'表５'!$O$14</f>
        <v>0</v>
      </c>
      <c r="Q66">
        <f>'表５'!P27/'表５'!$P$14</f>
        <v>3.865656441783214E-05</v>
      </c>
      <c r="R66">
        <f>'表５'!Q27/'表５'!$Q$14</f>
        <v>0</v>
      </c>
      <c r="S66">
        <f>'表５'!R27/'表５'!$R$14</f>
        <v>0</v>
      </c>
    </row>
    <row r="67" spans="6:19" ht="13.5">
      <c r="F67" s="579">
        <f>'表５'!E28/'表５'!$E$14</f>
        <v>0.05229084140291196</v>
      </c>
      <c r="G67" s="579">
        <f>'表５'!F28/'表５'!$F$14*100</f>
        <v>5.155187914007317</v>
      </c>
      <c r="H67" s="579">
        <f>'表５'!G28/'表５'!$G$14</f>
        <v>0.049091246253553975</v>
      </c>
      <c r="I67" s="579">
        <f>'表５'!H28/'表５'!$H$14</f>
        <v>0.05868649826033487</v>
      </c>
      <c r="J67" s="579">
        <f>'表５'!I28/'表５'!$I$14</f>
        <v>0.0612630331845714</v>
      </c>
      <c r="K67" s="579">
        <f>'表５'!J28/'表５'!$J$14</f>
        <v>0.021891774643508072</v>
      </c>
      <c r="L67" s="579">
        <f>'表５'!K28/'表５'!$K$14</f>
        <v>0.041857934442860185</v>
      </c>
      <c r="M67" s="579">
        <f>'表５'!L28/'表５'!$L$14</f>
        <v>0</v>
      </c>
      <c r="N67" s="579">
        <f>'表５'!M28/'表５'!$M$14</f>
        <v>0</v>
      </c>
      <c r="O67" s="579">
        <f>'表５'!N28/'表５'!$N$14</f>
        <v>0.018449272843355204</v>
      </c>
      <c r="P67" s="579">
        <f>'表５'!O28/'表５'!$O$14</f>
        <v>0</v>
      </c>
      <c r="Q67" s="579">
        <f>'表５'!P28/'表５'!$P$14</f>
        <v>0.0005725170488778932</v>
      </c>
      <c r="R67" s="579">
        <f>'表５'!Q28/'表５'!$Q$14</f>
        <v>0.0952680982088489</v>
      </c>
      <c r="S67" s="579">
        <f>'表５'!R28/'表５'!$R$14</f>
        <v>0.00022073045497201518</v>
      </c>
    </row>
  </sheetData>
  <sheetProtection/>
  <mergeCells count="31">
    <mergeCell ref="H29:H31"/>
    <mergeCell ref="I29:I31"/>
    <mergeCell ref="B7:E8"/>
    <mergeCell ref="Q29:Q31"/>
    <mergeCell ref="N29:N31"/>
    <mergeCell ref="S3:S6"/>
    <mergeCell ref="P4:P6"/>
    <mergeCell ref="Q4:Q6"/>
    <mergeCell ref="R3:R6"/>
    <mergeCell ref="P29:P31"/>
    <mergeCell ref="R28:R31"/>
    <mergeCell ref="S28:S31"/>
    <mergeCell ref="J4:J6"/>
    <mergeCell ref="G29:G31"/>
    <mergeCell ref="K29:K31"/>
    <mergeCell ref="O4:O6"/>
    <mergeCell ref="B28:E31"/>
    <mergeCell ref="F28:F31"/>
    <mergeCell ref="L4:N5"/>
    <mergeCell ref="B3:E6"/>
    <mergeCell ref="J29:J31"/>
    <mergeCell ref="I4:I6"/>
    <mergeCell ref="F3:F6"/>
    <mergeCell ref="G3:Q3"/>
    <mergeCell ref="G4:G6"/>
    <mergeCell ref="H4:H6"/>
    <mergeCell ref="M29:M31"/>
    <mergeCell ref="K4:K6"/>
    <mergeCell ref="O29:O31"/>
    <mergeCell ref="L29:L31"/>
    <mergeCell ref="G28:Q28"/>
  </mergeCells>
  <printOptions/>
  <pageMargins left="0.7" right="0.7" top="0.75" bottom="0.75" header="0.3" footer="0.3"/>
  <pageSetup orientation="portrait" paperSize="9"/>
  <ignoredErrors>
    <ignoredError sqref="I33" formula="1"/>
  </ignoredErrors>
</worksheet>
</file>

<file path=xl/worksheets/sheet34.xml><?xml version="1.0" encoding="utf-8"?>
<worksheet xmlns="http://schemas.openxmlformats.org/spreadsheetml/2006/main" xmlns:r="http://schemas.openxmlformats.org/officeDocument/2006/relationships">
  <sheetPr>
    <tabColor rgb="FFFF0000"/>
  </sheetPr>
  <dimension ref="A1:J31"/>
  <sheetViews>
    <sheetView showGridLines="0" zoomScalePageLayoutView="0" workbookViewId="0" topLeftCell="A1">
      <selection activeCell="H11" sqref="H11"/>
    </sheetView>
  </sheetViews>
  <sheetFormatPr defaultColWidth="9.00390625" defaultRowHeight="13.5"/>
  <cols>
    <col min="2" max="2" width="3.00390625" style="0" customWidth="1"/>
    <col min="3" max="3" width="3.25390625" style="0" customWidth="1"/>
    <col min="4" max="4" width="17.625" style="0" customWidth="1"/>
    <col min="5" max="5" width="12.875" style="0" customWidth="1"/>
    <col min="6" max="6" width="9.00390625" style="0" customWidth="1"/>
    <col min="7" max="7" width="8.50390625" style="0" customWidth="1"/>
    <col min="9" max="9" width="9.25390625" style="0" bestFit="1" customWidth="1"/>
  </cols>
  <sheetData>
    <row r="1" spans="1:8" ht="14.25" thickBot="1">
      <c r="A1" s="541"/>
      <c r="B1" s="852" t="s">
        <v>448</v>
      </c>
      <c r="C1" s="541"/>
      <c r="D1" s="541"/>
      <c r="E1" s="853"/>
      <c r="F1" s="859"/>
      <c r="G1" s="859"/>
      <c r="H1" s="541"/>
    </row>
    <row r="2" spans="1:9" ht="23.25" thickTop="1">
      <c r="A2" s="541"/>
      <c r="B2" s="1398" t="s">
        <v>520</v>
      </c>
      <c r="C2" s="1398"/>
      <c r="D2" s="1399"/>
      <c r="E2" s="772" t="s">
        <v>521</v>
      </c>
      <c r="F2" s="658" t="s">
        <v>433</v>
      </c>
      <c r="G2" s="773" t="s">
        <v>369</v>
      </c>
      <c r="H2" s="541"/>
      <c r="I2" s="872" t="s">
        <v>434</v>
      </c>
    </row>
    <row r="3" spans="1:9" ht="11.25" customHeight="1">
      <c r="A3" s="541"/>
      <c r="B3" s="1400" t="s">
        <v>29</v>
      </c>
      <c r="C3" s="1400"/>
      <c r="D3" s="1401"/>
      <c r="E3" s="640" t="s">
        <v>419</v>
      </c>
      <c r="F3" s="641"/>
      <c r="G3" s="642" t="s">
        <v>363</v>
      </c>
      <c r="H3" s="541"/>
      <c r="I3" s="872"/>
    </row>
    <row r="4" spans="1:10" ht="13.5">
      <c r="A4" s="853"/>
      <c r="B4" s="1402"/>
      <c r="C4" s="1402"/>
      <c r="D4" s="1403"/>
      <c r="E4" s="643">
        <f>'表７'!E6</f>
        <v>1218913</v>
      </c>
      <c r="F4" s="644">
        <f>ROUND(E4/小１人当*100,0)</f>
        <v>119</v>
      </c>
      <c r="G4" s="645">
        <f>ROUND((E4-I4)/I4*100,1)</f>
        <v>1.9</v>
      </c>
      <c r="H4" s="541"/>
      <c r="I4" s="873">
        <v>1196132</v>
      </c>
      <c r="J4" s="500" t="s">
        <v>435</v>
      </c>
    </row>
    <row r="5" spans="1:9" ht="13.5">
      <c r="A5" s="853"/>
      <c r="B5" s="593"/>
      <c r="C5" s="1234" t="s">
        <v>30</v>
      </c>
      <c r="D5" s="1234"/>
      <c r="E5" s="646">
        <f>'表７'!E7</f>
        <v>1333704</v>
      </c>
      <c r="F5" s="647">
        <f>ROUND(E5/小１人当*100,0)</f>
        <v>130</v>
      </c>
      <c r="G5" s="648">
        <f aca="true" t="shared" si="0" ref="G5:G16">ROUND((E5-I5)/I5*100,1)</f>
        <v>10.2</v>
      </c>
      <c r="H5" s="541"/>
      <c r="I5" s="873">
        <v>1209932</v>
      </c>
    </row>
    <row r="6" spans="1:9" ht="13.5">
      <c r="A6" s="853"/>
      <c r="B6" s="597"/>
      <c r="C6" s="1234" t="s">
        <v>31</v>
      </c>
      <c r="D6" s="1234"/>
      <c r="E6" s="646">
        <f>'表７'!E8</f>
        <v>1027837</v>
      </c>
      <c r="F6" s="647">
        <f>ROUND(E6/小１人当*100,0)</f>
        <v>100</v>
      </c>
      <c r="G6" s="648">
        <f t="shared" si="0"/>
        <v>0.1</v>
      </c>
      <c r="H6" s="541"/>
      <c r="I6" s="873">
        <v>1027183</v>
      </c>
    </row>
    <row r="7" spans="1:9" ht="13.5">
      <c r="A7" s="853"/>
      <c r="B7" s="597"/>
      <c r="C7" s="1234" t="s">
        <v>32</v>
      </c>
      <c r="D7" s="1234"/>
      <c r="E7" s="646">
        <f>'表７'!E9</f>
        <v>1174977</v>
      </c>
      <c r="F7" s="647">
        <f aca="true" t="shared" si="1" ref="F7:F13">ROUND(E7/小１人当*100,0)</f>
        <v>114</v>
      </c>
      <c r="G7" s="648">
        <f t="shared" si="0"/>
        <v>-3.8</v>
      </c>
      <c r="H7" s="541"/>
      <c r="I7" s="873">
        <v>1221929</v>
      </c>
    </row>
    <row r="8" spans="1:9" ht="13.5">
      <c r="A8" s="853"/>
      <c r="B8" s="597"/>
      <c r="C8" s="1234" t="s">
        <v>243</v>
      </c>
      <c r="D8" s="1234"/>
      <c r="E8" s="646">
        <f>'表７'!E10</f>
        <v>6668076</v>
      </c>
      <c r="F8" s="647">
        <f t="shared" si="1"/>
        <v>649</v>
      </c>
      <c r="G8" s="648">
        <f t="shared" si="0"/>
        <v>1.8</v>
      </c>
      <c r="H8" s="541"/>
      <c r="I8" s="873">
        <v>6551568</v>
      </c>
    </row>
    <row r="9" spans="1:9" ht="13.5">
      <c r="A9" s="853"/>
      <c r="B9" s="649"/>
      <c r="C9" s="1235" t="s">
        <v>33</v>
      </c>
      <c r="D9" s="599" t="s">
        <v>34</v>
      </c>
      <c r="E9" s="646">
        <f>'表７'!E11</f>
        <v>1482944</v>
      </c>
      <c r="F9" s="647">
        <f t="shared" si="1"/>
        <v>144</v>
      </c>
      <c r="G9" s="648">
        <f t="shared" si="0"/>
        <v>11.5</v>
      </c>
      <c r="H9" s="541"/>
      <c r="I9" s="873">
        <v>1330275</v>
      </c>
    </row>
    <row r="10" spans="1:9" ht="13.5">
      <c r="A10" s="853"/>
      <c r="B10" s="649"/>
      <c r="C10" s="1235"/>
      <c r="D10" s="599" t="s">
        <v>35</v>
      </c>
      <c r="E10" s="646">
        <f>'表７'!E12</f>
        <v>3195153</v>
      </c>
      <c r="F10" s="647">
        <f t="shared" si="1"/>
        <v>311</v>
      </c>
      <c r="G10" s="648">
        <f t="shared" si="0"/>
        <v>19.7</v>
      </c>
      <c r="H10" s="541"/>
      <c r="I10" s="873">
        <v>2668271</v>
      </c>
    </row>
    <row r="11" spans="1:9" ht="13.5">
      <c r="A11" s="853"/>
      <c r="B11" s="649"/>
      <c r="C11" s="1235"/>
      <c r="D11" s="599" t="s">
        <v>36</v>
      </c>
      <c r="E11" s="646">
        <f>'表７'!E13</f>
        <v>372181</v>
      </c>
      <c r="F11" s="647">
        <f t="shared" si="1"/>
        <v>36</v>
      </c>
      <c r="G11" s="648">
        <f t="shared" si="0"/>
        <v>-12.3</v>
      </c>
      <c r="H11" s="541"/>
      <c r="I11" s="873">
        <v>424504</v>
      </c>
    </row>
    <row r="12" spans="1:9" ht="13.5">
      <c r="A12" s="853"/>
      <c r="B12" s="597"/>
      <c r="C12" s="1393" t="s">
        <v>374</v>
      </c>
      <c r="D12" s="1234"/>
      <c r="E12" s="646">
        <f>'表７'!E15</f>
        <v>969793</v>
      </c>
      <c r="F12" s="647">
        <f t="shared" si="1"/>
        <v>94</v>
      </c>
      <c r="G12" s="648">
        <f t="shared" si="0"/>
        <v>6.6</v>
      </c>
      <c r="H12" s="541"/>
      <c r="I12" s="873">
        <v>909325</v>
      </c>
    </row>
    <row r="13" spans="1:9" ht="13.5">
      <c r="A13" s="853"/>
      <c r="B13" s="649"/>
      <c r="C13" s="1234" t="s">
        <v>39</v>
      </c>
      <c r="D13" s="1234"/>
      <c r="E13" s="646">
        <f>'表７'!E16</f>
        <v>2438253</v>
      </c>
      <c r="F13" s="647">
        <f t="shared" si="1"/>
        <v>237</v>
      </c>
      <c r="G13" s="648">
        <f t="shared" si="0"/>
        <v>-11</v>
      </c>
      <c r="H13" s="541"/>
      <c r="I13" s="873">
        <v>2740011</v>
      </c>
    </row>
    <row r="14" spans="1:9" ht="13.5">
      <c r="A14" s="853"/>
      <c r="B14" s="650"/>
      <c r="C14" s="1234" t="s">
        <v>375</v>
      </c>
      <c r="D14" s="1234"/>
      <c r="E14" s="646">
        <f>'表７'!E17</f>
        <v>1208045</v>
      </c>
      <c r="F14" s="647">
        <f>ROUND(E14/小１人当*100,0)</f>
        <v>118</v>
      </c>
      <c r="G14" s="648">
        <f t="shared" si="0"/>
        <v>29.5</v>
      </c>
      <c r="H14" s="541"/>
      <c r="I14" s="873">
        <v>932525</v>
      </c>
    </row>
    <row r="15" spans="1:9" ht="13.5">
      <c r="A15" s="853"/>
      <c r="B15" s="1394" t="s">
        <v>40</v>
      </c>
      <c r="C15" s="1394"/>
      <c r="D15" s="1395"/>
      <c r="E15" s="663">
        <f>'表７'!E18</f>
        <v>12976</v>
      </c>
      <c r="F15" s="651">
        <f>ROUND(E15/小１人当*100,0)</f>
        <v>1</v>
      </c>
      <c r="G15" s="652">
        <f t="shared" si="0"/>
        <v>-0.7</v>
      </c>
      <c r="H15" s="541"/>
      <c r="I15" s="873">
        <v>13073</v>
      </c>
    </row>
    <row r="16" spans="1:9" ht="14.25" thickBot="1">
      <c r="A16" s="853"/>
      <c r="B16" s="1396" t="s">
        <v>41</v>
      </c>
      <c r="C16" s="1396"/>
      <c r="D16" s="1397"/>
      <c r="E16" s="774">
        <f>'表７'!E19</f>
        <v>9064</v>
      </c>
      <c r="F16" s="775">
        <f>ROUND(E16/小１人当*100,0)</f>
        <v>1</v>
      </c>
      <c r="G16" s="776">
        <f t="shared" si="0"/>
        <v>2.7</v>
      </c>
      <c r="H16" s="541"/>
      <c r="I16" s="873">
        <v>8823</v>
      </c>
    </row>
    <row r="17" spans="1:9" ht="14.25" thickTop="1">
      <c r="A17" s="541"/>
      <c r="B17" s="539" t="s">
        <v>432</v>
      </c>
      <c r="H17" s="541"/>
      <c r="I17" t="s">
        <v>438</v>
      </c>
    </row>
    <row r="18" spans="1:10" ht="13.5">
      <c r="A18" s="541"/>
      <c r="B18" s="883"/>
      <c r="C18" s="541"/>
      <c r="D18" s="541"/>
      <c r="E18" s="541"/>
      <c r="F18" s="541"/>
      <c r="G18" s="541"/>
      <c r="H18" s="541"/>
      <c r="I18" t="s">
        <v>436</v>
      </c>
      <c r="J18" t="s">
        <v>437</v>
      </c>
    </row>
    <row r="19" spans="2:10" ht="13.5">
      <c r="B19" s="539"/>
      <c r="I19">
        <f aca="true" t="shared" si="2" ref="I19:I31">(E4/I4)-1</f>
        <v>0.019045556844896616</v>
      </c>
      <c r="J19">
        <f>I19*100</f>
        <v>1.9045556844896616</v>
      </c>
    </row>
    <row r="20" spans="9:10" ht="13.5">
      <c r="I20">
        <f t="shared" si="2"/>
        <v>0.102296657994003</v>
      </c>
      <c r="J20">
        <f aca="true" t="shared" si="3" ref="J20:J31">I20*100</f>
        <v>10.229665799400301</v>
      </c>
    </row>
    <row r="21" spans="9:10" ht="13.5">
      <c r="I21">
        <f t="shared" si="2"/>
        <v>0.0006366927801570998</v>
      </c>
      <c r="J21">
        <f t="shared" si="3"/>
        <v>0.06366927801570998</v>
      </c>
    </row>
    <row r="22" spans="9:10" ht="13.5">
      <c r="I22">
        <f t="shared" si="2"/>
        <v>-0.03842449111200408</v>
      </c>
      <c r="J22">
        <f t="shared" si="3"/>
        <v>-3.8424491112004078</v>
      </c>
    </row>
    <row r="23" spans="9:10" ht="13.5">
      <c r="I23">
        <f t="shared" si="2"/>
        <v>0.017783223802301906</v>
      </c>
      <c r="J23">
        <f t="shared" si="3"/>
        <v>1.7783223802301906</v>
      </c>
    </row>
    <row r="24" spans="9:10" ht="13.5">
      <c r="I24">
        <f t="shared" si="2"/>
        <v>0.11476499220086067</v>
      </c>
      <c r="J24">
        <f t="shared" si="3"/>
        <v>11.476499220086067</v>
      </c>
    </row>
    <row r="25" spans="9:10" ht="13.5">
      <c r="I25">
        <f t="shared" si="2"/>
        <v>0.1974619519531562</v>
      </c>
      <c r="J25">
        <f t="shared" si="3"/>
        <v>19.746195195315618</v>
      </c>
    </row>
    <row r="26" spans="9:10" ht="13.5">
      <c r="I26">
        <f t="shared" si="2"/>
        <v>-0.12325678909974935</v>
      </c>
      <c r="J26">
        <f t="shared" si="3"/>
        <v>-12.325678909974936</v>
      </c>
    </row>
    <row r="27" spans="9:10" ht="13.5">
      <c r="I27">
        <f t="shared" si="2"/>
        <v>0.0664976768482115</v>
      </c>
      <c r="J27">
        <f t="shared" si="3"/>
        <v>6.649767684821151</v>
      </c>
    </row>
    <row r="28" spans="9:10" ht="13.5">
      <c r="I28">
        <f t="shared" si="2"/>
        <v>-0.11013021480570695</v>
      </c>
      <c r="J28">
        <f t="shared" si="3"/>
        <v>-11.013021480570695</v>
      </c>
    </row>
    <row r="29" spans="9:10" ht="13.5">
      <c r="I29">
        <f t="shared" si="2"/>
        <v>0.2954558859011822</v>
      </c>
      <c r="J29">
        <f t="shared" si="3"/>
        <v>29.54558859011822</v>
      </c>
    </row>
    <row r="30" spans="9:10" ht="13.5">
      <c r="I30">
        <f t="shared" si="2"/>
        <v>-0.0074198730207297725</v>
      </c>
      <c r="J30">
        <f t="shared" si="3"/>
        <v>-0.7419873020729773</v>
      </c>
    </row>
    <row r="31" spans="9:10" ht="13.5">
      <c r="I31">
        <f t="shared" si="2"/>
        <v>0.027314972231667234</v>
      </c>
      <c r="J31">
        <f t="shared" si="3"/>
        <v>2.7314972231667234</v>
      </c>
    </row>
  </sheetData>
  <sheetProtection/>
  <mergeCells count="12">
    <mergeCell ref="B2:D2"/>
    <mergeCell ref="C5:D5"/>
    <mergeCell ref="C6:D6"/>
    <mergeCell ref="C7:D7"/>
    <mergeCell ref="C8:D8"/>
    <mergeCell ref="B3:D4"/>
    <mergeCell ref="C9:C11"/>
    <mergeCell ref="C12:D12"/>
    <mergeCell ref="C13:D13"/>
    <mergeCell ref="C14:D14"/>
    <mergeCell ref="B15:D15"/>
    <mergeCell ref="B16:D16"/>
  </mergeCells>
  <printOptions/>
  <pageMargins left="0.7" right="0.7" top="0.75" bottom="0.75" header="0.3" footer="0.3"/>
  <pageSetup orientation="portrait" paperSize="9" r:id="rId1"/>
</worksheet>
</file>

<file path=xl/worksheets/sheet35.xml><?xml version="1.0" encoding="utf-8"?>
<worksheet xmlns="http://schemas.openxmlformats.org/spreadsheetml/2006/main" xmlns:r="http://schemas.openxmlformats.org/officeDocument/2006/relationships">
  <sheetPr>
    <tabColor rgb="FFFF0000"/>
  </sheetPr>
  <dimension ref="A1:L24"/>
  <sheetViews>
    <sheetView showGridLines="0" zoomScalePageLayoutView="0" workbookViewId="0" topLeftCell="A1">
      <selection activeCell="H11" sqref="H11"/>
    </sheetView>
  </sheetViews>
  <sheetFormatPr defaultColWidth="9.00390625" defaultRowHeight="13.5"/>
  <cols>
    <col min="1" max="1" width="15.25390625" style="0" customWidth="1"/>
    <col min="2" max="2" width="1.25" style="0" customWidth="1"/>
    <col min="3" max="3" width="1.4921875" style="0" customWidth="1"/>
    <col min="4" max="4" width="2.25390625" style="0" customWidth="1"/>
    <col min="5" max="5" width="6.375" style="0" customWidth="1"/>
    <col min="6" max="6" width="10.125" style="0" customWidth="1"/>
    <col min="7" max="9" width="9.375" style="0" customWidth="1"/>
  </cols>
  <sheetData>
    <row r="1" spans="1:10" ht="13.5">
      <c r="A1" s="541"/>
      <c r="B1" s="857" t="s">
        <v>449</v>
      </c>
      <c r="C1" s="853"/>
      <c r="D1" s="853"/>
      <c r="E1" s="853"/>
      <c r="F1" s="853"/>
      <c r="G1" s="853"/>
      <c r="H1" s="853"/>
      <c r="I1" s="853"/>
      <c r="J1" s="541"/>
    </row>
    <row r="2" spans="1:10" ht="14.25" thickBot="1">
      <c r="A2" s="541"/>
      <c r="B2" s="858"/>
      <c r="C2" s="859"/>
      <c r="D2" s="859"/>
      <c r="E2" s="859"/>
      <c r="F2" s="859"/>
      <c r="G2" s="859"/>
      <c r="H2" s="859"/>
      <c r="I2" s="859"/>
      <c r="J2" s="541"/>
    </row>
    <row r="3" spans="1:10" ht="6.75" customHeight="1" thickTop="1">
      <c r="A3" s="853"/>
      <c r="B3" s="1412" t="s">
        <v>536</v>
      </c>
      <c r="C3" s="1413"/>
      <c r="D3" s="1413"/>
      <c r="E3" s="1413"/>
      <c r="F3" s="1416" t="s">
        <v>447</v>
      </c>
      <c r="G3" s="1416" t="s">
        <v>534</v>
      </c>
      <c r="H3" s="1416" t="s">
        <v>533</v>
      </c>
      <c r="I3" s="1419" t="s">
        <v>535</v>
      </c>
      <c r="J3" s="884"/>
    </row>
    <row r="4" spans="1:10" ht="6.75" customHeight="1">
      <c r="A4" s="853"/>
      <c r="B4" s="1414"/>
      <c r="C4" s="1415"/>
      <c r="D4" s="1415"/>
      <c r="E4" s="1415"/>
      <c r="F4" s="1417"/>
      <c r="G4" s="1417"/>
      <c r="H4" s="1418"/>
      <c r="I4" s="1420"/>
      <c r="J4" s="884"/>
    </row>
    <row r="5" spans="1:10" ht="6.75" customHeight="1">
      <c r="A5" s="853"/>
      <c r="B5" s="1414"/>
      <c r="C5" s="1415"/>
      <c r="D5" s="1415"/>
      <c r="E5" s="1415"/>
      <c r="F5" s="1417"/>
      <c r="G5" s="1417"/>
      <c r="H5" s="1418"/>
      <c r="I5" s="1420"/>
      <c r="J5" s="884"/>
    </row>
    <row r="6" spans="1:10" ht="6.75" customHeight="1">
      <c r="A6" s="853"/>
      <c r="B6" s="1414"/>
      <c r="C6" s="1415"/>
      <c r="D6" s="1415"/>
      <c r="E6" s="1415"/>
      <c r="F6" s="1417"/>
      <c r="G6" s="1417"/>
      <c r="H6" s="1418"/>
      <c r="I6" s="1420"/>
      <c r="J6" s="884"/>
    </row>
    <row r="7" spans="1:10" ht="6.75" customHeight="1">
      <c r="A7" s="853"/>
      <c r="B7" s="1414"/>
      <c r="C7" s="1415"/>
      <c r="D7" s="1415"/>
      <c r="E7" s="1415"/>
      <c r="F7" s="1417"/>
      <c r="G7" s="1417"/>
      <c r="H7" s="1418"/>
      <c r="I7" s="1420"/>
      <c r="J7" s="884"/>
    </row>
    <row r="8" spans="1:11" ht="6.75" customHeight="1">
      <c r="A8" s="853"/>
      <c r="B8" s="1414"/>
      <c r="C8" s="1415"/>
      <c r="D8" s="1415"/>
      <c r="E8" s="1415"/>
      <c r="F8" s="1417"/>
      <c r="G8" s="1417"/>
      <c r="H8" s="1418"/>
      <c r="I8" s="1420"/>
      <c r="J8" s="884"/>
      <c r="K8" s="872" t="s">
        <v>434</v>
      </c>
    </row>
    <row r="9" spans="1:11" ht="12" customHeight="1">
      <c r="A9" s="853"/>
      <c r="B9" s="1424" t="s">
        <v>439</v>
      </c>
      <c r="C9" s="1424"/>
      <c r="D9" s="1424"/>
      <c r="E9" s="1425"/>
      <c r="F9" s="574" t="s">
        <v>441</v>
      </c>
      <c r="G9" s="574" t="s">
        <v>442</v>
      </c>
      <c r="H9" s="574" t="s">
        <v>445</v>
      </c>
      <c r="I9" s="575" t="s">
        <v>445</v>
      </c>
      <c r="J9" s="541"/>
      <c r="K9" s="872"/>
    </row>
    <row r="10" spans="1:12" ht="12" customHeight="1">
      <c r="A10" s="853"/>
      <c r="B10" s="1426"/>
      <c r="C10" s="1426"/>
      <c r="D10" s="1426"/>
      <c r="E10" s="1427"/>
      <c r="F10" s="665">
        <f>SUM(F11,F22,F23)</f>
        <v>34795</v>
      </c>
      <c r="G10" s="666" t="s">
        <v>450</v>
      </c>
      <c r="H10" s="654">
        <f>ROUND(F10/'表５'!E$5*100,2)</f>
        <v>0.02</v>
      </c>
      <c r="I10" s="667">
        <f>IF(K10=0,"-",ROUND((F10-K10)/K10*100,1))</f>
        <v>39.2</v>
      </c>
      <c r="J10" s="541"/>
      <c r="K10" s="872">
        <v>24988</v>
      </c>
      <c r="L10" s="500" t="s">
        <v>435</v>
      </c>
    </row>
    <row r="11" spans="1:11" ht="12" customHeight="1">
      <c r="A11" s="853"/>
      <c r="B11" s="673"/>
      <c r="C11" s="1409" t="s">
        <v>420</v>
      </c>
      <c r="D11" s="1410"/>
      <c r="E11" s="1411"/>
      <c r="F11" s="668">
        <f>SUM(F12:F21)</f>
        <v>4563</v>
      </c>
      <c r="G11" s="669">
        <f>ROUND(F11/'表５'!F$31*1000,0)</f>
        <v>36</v>
      </c>
      <c r="H11" s="656">
        <f>IF(F11="－","－",ROUND(F11/'表５'!F$5*100,1))</f>
        <v>0</v>
      </c>
      <c r="I11" s="667">
        <f aca="true" t="shared" si="0" ref="I11:I23">IF(K11=0,"-",ROUND((F11-K11)/K11*100,1))</f>
        <v>686.7</v>
      </c>
      <c r="J11" s="541"/>
      <c r="K11" s="872">
        <v>580</v>
      </c>
    </row>
    <row r="12" spans="1:11" ht="12" customHeight="1">
      <c r="A12" s="853"/>
      <c r="B12" s="674"/>
      <c r="C12" s="675" t="s">
        <v>446</v>
      </c>
      <c r="D12" s="1407" t="s">
        <v>529</v>
      </c>
      <c r="E12" s="1408"/>
      <c r="F12" s="670">
        <f>'表８'!L5</f>
        <v>0</v>
      </c>
      <c r="G12" s="671">
        <f>ROUND(F12/'表５'!G$31*1000,0)</f>
        <v>0</v>
      </c>
      <c r="H12" s="657">
        <f>IF(F12="－","－",ROUND(F12/'表５'!G$5*100,1))</f>
        <v>0</v>
      </c>
      <c r="I12" s="667" t="str">
        <f t="shared" si="0"/>
        <v>-</v>
      </c>
      <c r="J12" s="541"/>
      <c r="K12" s="872">
        <v>0</v>
      </c>
    </row>
    <row r="13" spans="1:11" ht="12" customHeight="1">
      <c r="A13" s="853"/>
      <c r="B13" s="674"/>
      <c r="C13" s="676"/>
      <c r="D13" s="1407" t="s">
        <v>530</v>
      </c>
      <c r="E13" s="1408"/>
      <c r="F13" s="670">
        <f>'表９'!L5</f>
        <v>500</v>
      </c>
      <c r="G13" s="671">
        <f>ROUND(F13/'表５'!H$31*1000,0)</f>
        <v>8</v>
      </c>
      <c r="H13" s="657">
        <f>IF(F13="－","－",ROUND(F13/'表５'!H$5*100,1))</f>
        <v>0</v>
      </c>
      <c r="I13" s="667">
        <f t="shared" si="0"/>
        <v>51.5</v>
      </c>
      <c r="J13" s="541"/>
      <c r="K13" s="872">
        <v>330</v>
      </c>
    </row>
    <row r="14" spans="1:11" ht="12" customHeight="1">
      <c r="A14" s="853"/>
      <c r="B14" s="677"/>
      <c r="C14" s="676"/>
      <c r="D14" s="1407" t="s">
        <v>531</v>
      </c>
      <c r="E14" s="1408"/>
      <c r="F14" s="670">
        <f>'表１０'!L5</f>
        <v>4063</v>
      </c>
      <c r="G14" s="671">
        <f>ROUND(F14/'表５'!I$31*1000,0)</f>
        <v>127</v>
      </c>
      <c r="H14" s="657">
        <f>IF(F14="－","－",ROUND(F14/'表５'!I$5*100,1))</f>
        <v>0</v>
      </c>
      <c r="I14" s="667">
        <f t="shared" si="0"/>
        <v>1525.2</v>
      </c>
      <c r="J14" s="541"/>
      <c r="K14" s="872">
        <v>250</v>
      </c>
    </row>
    <row r="15" spans="1:11" ht="12" customHeight="1">
      <c r="A15" s="853"/>
      <c r="B15" s="674"/>
      <c r="C15" s="678"/>
      <c r="D15" s="1407" t="s">
        <v>424</v>
      </c>
      <c r="E15" s="1408"/>
      <c r="F15" s="670">
        <f>'表１１'!L5</f>
        <v>0</v>
      </c>
      <c r="G15" s="671">
        <f>ROUND(F15/'表５'!J$31*1000,0)</f>
        <v>0</v>
      </c>
      <c r="H15" s="657">
        <f>IF(F15="－","－",ROUND(F15/'表５'!J$5*100,1))</f>
        <v>0</v>
      </c>
      <c r="I15" s="667" t="str">
        <f t="shared" si="0"/>
        <v>-</v>
      </c>
      <c r="J15" s="541"/>
      <c r="K15" s="872">
        <v>0</v>
      </c>
    </row>
    <row r="16" spans="1:11" ht="12" customHeight="1">
      <c r="A16" s="853"/>
      <c r="B16" s="674"/>
      <c r="C16" s="676"/>
      <c r="D16" s="1421" t="s">
        <v>425</v>
      </c>
      <c r="E16" s="679" t="s">
        <v>426</v>
      </c>
      <c r="F16" s="670">
        <f>'表１２'!L5</f>
        <v>0</v>
      </c>
      <c r="G16" s="671">
        <f>ROUND(F16/'表５'!K$31*1000,0)</f>
        <v>0</v>
      </c>
      <c r="H16" s="657">
        <f>IF(F16="－","－",ROUND(F16/'表５'!K$5*100,1))</f>
        <v>0</v>
      </c>
      <c r="I16" s="667" t="str">
        <f t="shared" si="0"/>
        <v>-</v>
      </c>
      <c r="J16" s="541"/>
      <c r="K16" s="872">
        <v>0</v>
      </c>
    </row>
    <row r="17" spans="1:11" ht="12" customHeight="1">
      <c r="A17" s="853"/>
      <c r="B17" s="674"/>
      <c r="C17" s="676"/>
      <c r="D17" s="1422"/>
      <c r="E17" s="679" t="s">
        <v>427</v>
      </c>
      <c r="F17" s="670">
        <f>'表１３'!L5</f>
        <v>0</v>
      </c>
      <c r="G17" s="671">
        <f>ROUND(F17/'表５'!L$31*1000,0)</f>
        <v>0</v>
      </c>
      <c r="H17" s="657">
        <f>IF(F17="－","－",ROUND(F17/'表５'!L$5*100,1))</f>
        <v>0</v>
      </c>
      <c r="I17" s="667" t="str">
        <f t="shared" si="0"/>
        <v>-</v>
      </c>
      <c r="J17" s="541"/>
      <c r="K17" s="872">
        <v>0</v>
      </c>
    </row>
    <row r="18" spans="1:11" ht="12" customHeight="1">
      <c r="A18" s="853"/>
      <c r="B18" s="674"/>
      <c r="C18" s="676"/>
      <c r="D18" s="1423"/>
      <c r="E18" s="679" t="s">
        <v>428</v>
      </c>
      <c r="F18" s="670">
        <f>'表１４'!L5</f>
        <v>0</v>
      </c>
      <c r="G18" s="671">
        <f>ROUND(F18/'表５'!M$31*1000,0)</f>
        <v>0</v>
      </c>
      <c r="H18" s="657">
        <f>IF(F18="－","－",ROUND(F18/'表５'!M$5*100,1))</f>
        <v>0</v>
      </c>
      <c r="I18" s="667" t="str">
        <f t="shared" si="0"/>
        <v>-</v>
      </c>
      <c r="J18" s="541"/>
      <c r="K18" s="872">
        <v>0</v>
      </c>
    </row>
    <row r="19" spans="1:11" ht="12" customHeight="1">
      <c r="A19" s="853"/>
      <c r="B19" s="674"/>
      <c r="C19" s="676"/>
      <c r="D19" s="1407" t="s">
        <v>429</v>
      </c>
      <c r="E19" s="1408"/>
      <c r="F19" s="670">
        <f>'表１５'!L5</f>
        <v>0</v>
      </c>
      <c r="G19" s="671">
        <f>ROUND(F19/'表５'!N$31*1000,0)</f>
        <v>0</v>
      </c>
      <c r="H19" s="657">
        <f>IF(F19="－","－",ROUND(F19/'表５'!N$5*100,1))</f>
        <v>0</v>
      </c>
      <c r="I19" s="667" t="str">
        <f t="shared" si="0"/>
        <v>-</v>
      </c>
      <c r="J19" s="541"/>
      <c r="K19" s="872">
        <v>0</v>
      </c>
    </row>
    <row r="20" spans="1:11" ht="12" customHeight="1">
      <c r="A20" s="853"/>
      <c r="B20" s="674"/>
      <c r="C20" s="676"/>
      <c r="D20" s="1407" t="s">
        <v>532</v>
      </c>
      <c r="E20" s="1408"/>
      <c r="F20" s="670">
        <f>'表１６'!L5</f>
        <v>0</v>
      </c>
      <c r="G20" s="671">
        <f>ROUND(F20/'表５'!O$31*1000,0)</f>
        <v>0</v>
      </c>
      <c r="H20" s="657">
        <f>IF(F20="－","－",ROUND(F20/'表５'!O$5*100,1))</f>
        <v>0</v>
      </c>
      <c r="I20" s="667" t="str">
        <f t="shared" si="0"/>
        <v>-</v>
      </c>
      <c r="J20" s="541"/>
      <c r="K20" s="872">
        <v>0</v>
      </c>
    </row>
    <row r="21" spans="1:11" ht="12" customHeight="1">
      <c r="A21" s="853"/>
      <c r="B21" s="674"/>
      <c r="C21" s="680"/>
      <c r="D21" s="1407" t="s">
        <v>443</v>
      </c>
      <c r="E21" s="1408"/>
      <c r="F21" s="670">
        <f>'表１７'!L5</f>
        <v>0</v>
      </c>
      <c r="G21" s="671">
        <f>ROUND(F21/'表５'!P$31*1000,0)</f>
        <v>0</v>
      </c>
      <c r="H21" s="657">
        <f>IF(F21="－","－",ROUND(F21/'表５'!P$5*100,1))</f>
        <v>0</v>
      </c>
      <c r="I21" s="667" t="str">
        <f t="shared" si="0"/>
        <v>-</v>
      </c>
      <c r="J21" s="541"/>
      <c r="K21" s="872">
        <v>0</v>
      </c>
    </row>
    <row r="22" spans="1:11" ht="12" customHeight="1">
      <c r="A22" s="853"/>
      <c r="B22" s="674"/>
      <c r="C22" s="1409" t="s">
        <v>444</v>
      </c>
      <c r="D22" s="1410"/>
      <c r="E22" s="1411"/>
      <c r="F22" s="668">
        <f>SUM('表１８'!J5,'表１８'!K5,'表１８'!J17,'表１８'!K17)</f>
        <v>13887</v>
      </c>
      <c r="G22" s="669">
        <f>ROUND(F22/'表５'!Q$31*1000,0)</f>
        <v>10</v>
      </c>
      <c r="H22" s="656">
        <f>IF(F22="－","－",ROUND(F22/'表５'!Q$5*100,1))</f>
        <v>0.1</v>
      </c>
      <c r="I22" s="667">
        <f t="shared" si="0"/>
        <v>-42.9</v>
      </c>
      <c r="J22" s="541"/>
      <c r="K22" s="872">
        <v>24308</v>
      </c>
    </row>
    <row r="23" spans="1:11" ht="12" customHeight="1" thickBot="1">
      <c r="A23" s="853"/>
      <c r="B23" s="688"/>
      <c r="C23" s="1404" t="s">
        <v>431</v>
      </c>
      <c r="D23" s="1405"/>
      <c r="E23" s="1406"/>
      <c r="F23" s="684">
        <f>SUM('表１８'!J16,'表１８'!J28)</f>
        <v>16345</v>
      </c>
      <c r="G23" s="685">
        <f>ROUND(F23/'表５'!R$31*1000,0)</f>
        <v>12</v>
      </c>
      <c r="H23" s="686">
        <f>IF(F23="－","－",ROUND(F23/'表５'!R$5*100,1))</f>
        <v>0.1</v>
      </c>
      <c r="I23" s="687">
        <f t="shared" si="0"/>
        <v>16245</v>
      </c>
      <c r="J23" s="541"/>
      <c r="K23" s="872">
        <v>100</v>
      </c>
    </row>
    <row r="24" spans="1:10" ht="14.25" thickTop="1">
      <c r="A24" s="541"/>
      <c r="B24" s="541"/>
      <c r="C24" s="541"/>
      <c r="D24" s="541"/>
      <c r="E24" s="541"/>
      <c r="F24" s="541"/>
      <c r="G24" s="853"/>
      <c r="H24" s="541"/>
      <c r="I24" s="541"/>
      <c r="J24" s="541"/>
    </row>
  </sheetData>
  <sheetProtection/>
  <mergeCells count="17">
    <mergeCell ref="B3:E8"/>
    <mergeCell ref="F3:F8"/>
    <mergeCell ref="G3:G8"/>
    <mergeCell ref="H3:H8"/>
    <mergeCell ref="I3:I8"/>
    <mergeCell ref="D16:D18"/>
    <mergeCell ref="B9:E10"/>
    <mergeCell ref="C11:E11"/>
    <mergeCell ref="D12:E12"/>
    <mergeCell ref="D13:E13"/>
    <mergeCell ref="C23:E23"/>
    <mergeCell ref="D14:E14"/>
    <mergeCell ref="D15:E15"/>
    <mergeCell ref="D19:E19"/>
    <mergeCell ref="D20:E20"/>
    <mergeCell ref="D21:E21"/>
    <mergeCell ref="C22:E2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rgb="FFFF0000"/>
  </sheetPr>
  <dimension ref="A1:N29"/>
  <sheetViews>
    <sheetView showGridLines="0" zoomScale="160" zoomScaleNormal="160" zoomScalePageLayoutView="0" workbookViewId="0" topLeftCell="A1">
      <selection activeCell="H11" sqref="H11"/>
    </sheetView>
  </sheetViews>
  <sheetFormatPr defaultColWidth="9.00390625" defaultRowHeight="13.5"/>
  <cols>
    <col min="2" max="3" width="1.875" style="0" customWidth="1"/>
    <col min="4" max="4" width="13.75390625" style="0" bestFit="1" customWidth="1"/>
    <col min="5" max="12" width="6.75390625" style="0" customWidth="1"/>
  </cols>
  <sheetData>
    <row r="1" spans="1:13" ht="14.25" thickBot="1">
      <c r="A1" s="541"/>
      <c r="B1" s="858" t="s">
        <v>457</v>
      </c>
      <c r="C1" s="859"/>
      <c r="D1" s="859"/>
      <c r="E1" s="859"/>
      <c r="F1" s="859"/>
      <c r="G1" s="859"/>
      <c r="H1" s="859"/>
      <c r="I1" s="859"/>
      <c r="J1" s="859"/>
      <c r="K1" s="859"/>
      <c r="L1" s="859"/>
      <c r="M1" s="541"/>
    </row>
    <row r="2" spans="1:13" ht="7.5" customHeight="1" thickTop="1">
      <c r="A2" s="541"/>
      <c r="B2" s="1443" t="s">
        <v>380</v>
      </c>
      <c r="C2" s="1444"/>
      <c r="D2" s="1444"/>
      <c r="E2" s="1343" t="s">
        <v>30</v>
      </c>
      <c r="F2" s="1343"/>
      <c r="G2" s="1343" t="s">
        <v>31</v>
      </c>
      <c r="H2" s="1343"/>
      <c r="I2" s="1343" t="s">
        <v>32</v>
      </c>
      <c r="J2" s="1343"/>
      <c r="K2" s="1447" t="s">
        <v>539</v>
      </c>
      <c r="L2" s="1448"/>
      <c r="M2" s="541"/>
    </row>
    <row r="3" spans="1:14" ht="9.75" customHeight="1">
      <c r="A3" s="853"/>
      <c r="B3" s="1445"/>
      <c r="C3" s="1446"/>
      <c r="D3" s="1446"/>
      <c r="E3" s="1341"/>
      <c r="F3" s="1341"/>
      <c r="G3" s="1341"/>
      <c r="H3" s="1341"/>
      <c r="I3" s="1341"/>
      <c r="J3" s="1341"/>
      <c r="K3" s="1449"/>
      <c r="L3" s="1450"/>
      <c r="M3" s="541"/>
      <c r="N3" s="500" t="s">
        <v>458</v>
      </c>
    </row>
    <row r="4" spans="1:13" ht="10.5" customHeight="1">
      <c r="A4" s="853"/>
      <c r="B4" s="1445"/>
      <c r="C4" s="1446"/>
      <c r="D4" s="1446"/>
      <c r="E4" s="711"/>
      <c r="F4" s="692" t="s">
        <v>372</v>
      </c>
      <c r="G4" s="712"/>
      <c r="H4" s="692" t="s">
        <v>372</v>
      </c>
      <c r="I4" s="712"/>
      <c r="J4" s="692" t="s">
        <v>372</v>
      </c>
      <c r="K4" s="712"/>
      <c r="L4" s="705" t="s">
        <v>372</v>
      </c>
      <c r="M4" s="541"/>
    </row>
    <row r="5" spans="1:13" ht="9.75" customHeight="1">
      <c r="A5" s="853"/>
      <c r="B5" s="1451" t="s">
        <v>440</v>
      </c>
      <c r="C5" s="1451"/>
      <c r="D5" s="1452"/>
      <c r="E5" s="697" t="s">
        <v>362</v>
      </c>
      <c r="F5" s="693" t="s">
        <v>363</v>
      </c>
      <c r="G5" s="697" t="s">
        <v>362</v>
      </c>
      <c r="H5" s="693" t="s">
        <v>363</v>
      </c>
      <c r="I5" s="697" t="s">
        <v>362</v>
      </c>
      <c r="J5" s="693" t="s">
        <v>363</v>
      </c>
      <c r="K5" s="697" t="s">
        <v>362</v>
      </c>
      <c r="L5" s="706" t="s">
        <v>363</v>
      </c>
      <c r="M5" s="541"/>
    </row>
    <row r="6" spans="1:13" ht="9.75" customHeight="1">
      <c r="A6" s="853"/>
      <c r="B6" s="1453"/>
      <c r="C6" s="1453"/>
      <c r="D6" s="1454"/>
      <c r="E6" s="698">
        <f>E22</f>
        <v>0</v>
      </c>
      <c r="F6" s="694" t="str">
        <f>_xlfn.IFERROR(F22,"-")</f>
        <v>-</v>
      </c>
      <c r="G6" s="698">
        <f>G22</f>
        <v>500</v>
      </c>
      <c r="H6" s="694">
        <f>_xlfn.IFERROR(H22,"-")</f>
        <v>100</v>
      </c>
      <c r="I6" s="698">
        <f>I22</f>
        <v>4063</v>
      </c>
      <c r="J6" s="694">
        <f>_xlfn.IFERROR(J22,"-")</f>
        <v>100</v>
      </c>
      <c r="K6" s="698">
        <f>K22</f>
        <v>0</v>
      </c>
      <c r="L6" s="707" t="str">
        <f>_xlfn.IFERROR(L22,"-")</f>
        <v>-</v>
      </c>
      <c r="M6" s="853"/>
    </row>
    <row r="7" spans="1:13" ht="10.5" customHeight="1">
      <c r="A7" s="853"/>
      <c r="B7" s="638"/>
      <c r="C7" s="1428" t="s">
        <v>75</v>
      </c>
      <c r="D7" s="1429"/>
      <c r="E7" s="699">
        <f aca="true" t="shared" si="0" ref="E7:E13">E23</f>
        <v>0</v>
      </c>
      <c r="F7" s="695" t="str">
        <f aca="true" t="shared" si="1" ref="F7:F13">_xlfn.IFERROR(F23,"-")</f>
        <v>-</v>
      </c>
      <c r="G7" s="699">
        <f aca="true" t="shared" si="2" ref="G7:G13">G23</f>
        <v>200</v>
      </c>
      <c r="H7" s="702">
        <f aca="true" t="shared" si="3" ref="H7:H13">_xlfn.IFERROR(H23,"-")</f>
        <v>40</v>
      </c>
      <c r="I7" s="699">
        <f aca="true" t="shared" si="4" ref="I7:I13">I23</f>
        <v>150</v>
      </c>
      <c r="J7" s="702">
        <f aca="true" t="shared" si="5" ref="J7:J13">_xlfn.IFERROR(J23,"-")</f>
        <v>3.7</v>
      </c>
      <c r="K7" s="699">
        <f aca="true" t="shared" si="6" ref="K7:K13">K23</f>
        <v>0</v>
      </c>
      <c r="L7" s="708" t="str">
        <f aca="true" t="shared" si="7" ref="L7:L13">_xlfn.IFERROR(L23,"-")</f>
        <v>-</v>
      </c>
      <c r="M7" s="541"/>
    </row>
    <row r="8" spans="1:13" ht="10.5" customHeight="1">
      <c r="A8" s="853"/>
      <c r="B8" s="639"/>
      <c r="C8" s="664"/>
      <c r="D8" s="690" t="s">
        <v>537</v>
      </c>
      <c r="E8" s="700">
        <f t="shared" si="0"/>
        <v>0</v>
      </c>
      <c r="F8" s="694" t="str">
        <f t="shared" si="1"/>
        <v>-</v>
      </c>
      <c r="G8" s="700">
        <f t="shared" si="2"/>
        <v>0</v>
      </c>
      <c r="H8" s="703">
        <f t="shared" si="3"/>
        <v>0</v>
      </c>
      <c r="I8" s="700">
        <f t="shared" si="4"/>
        <v>0</v>
      </c>
      <c r="J8" s="703">
        <f t="shared" si="5"/>
        <v>0</v>
      </c>
      <c r="K8" s="700">
        <f t="shared" si="6"/>
        <v>0</v>
      </c>
      <c r="L8" s="709" t="str">
        <f t="shared" si="7"/>
        <v>-</v>
      </c>
      <c r="M8" s="541"/>
    </row>
    <row r="9" spans="1:13" ht="10.5" customHeight="1">
      <c r="A9" s="853"/>
      <c r="B9" s="639"/>
      <c r="C9" s="672"/>
      <c r="D9" s="690" t="s">
        <v>79</v>
      </c>
      <c r="E9" s="700">
        <f t="shared" si="0"/>
        <v>0</v>
      </c>
      <c r="F9" s="694" t="str">
        <f t="shared" si="1"/>
        <v>-</v>
      </c>
      <c r="G9" s="700">
        <f t="shared" si="2"/>
        <v>200</v>
      </c>
      <c r="H9" s="703">
        <f t="shared" si="3"/>
        <v>40</v>
      </c>
      <c r="I9" s="700">
        <f t="shared" si="4"/>
        <v>150</v>
      </c>
      <c r="J9" s="703">
        <f t="shared" si="5"/>
        <v>3.7</v>
      </c>
      <c r="K9" s="700">
        <f t="shared" si="6"/>
        <v>0</v>
      </c>
      <c r="L9" s="709" t="str">
        <f t="shared" si="7"/>
        <v>-</v>
      </c>
      <c r="M9" s="541"/>
    </row>
    <row r="10" spans="1:13" ht="10.5" customHeight="1">
      <c r="A10" s="853"/>
      <c r="B10" s="639"/>
      <c r="C10" s="672"/>
      <c r="D10" s="690" t="s">
        <v>538</v>
      </c>
      <c r="E10" s="700">
        <f t="shared" si="0"/>
        <v>0</v>
      </c>
      <c r="F10" s="694" t="str">
        <f t="shared" si="1"/>
        <v>-</v>
      </c>
      <c r="G10" s="700">
        <f t="shared" si="2"/>
        <v>0</v>
      </c>
      <c r="H10" s="703">
        <f t="shared" si="3"/>
        <v>0</v>
      </c>
      <c r="I10" s="700">
        <f t="shared" si="4"/>
        <v>0</v>
      </c>
      <c r="J10" s="703">
        <f t="shared" si="5"/>
        <v>0</v>
      </c>
      <c r="K10" s="700">
        <f t="shared" si="6"/>
        <v>0</v>
      </c>
      <c r="L10" s="709" t="str">
        <f t="shared" si="7"/>
        <v>-</v>
      </c>
      <c r="M10" s="541"/>
    </row>
    <row r="11" spans="1:13" ht="10.5" customHeight="1">
      <c r="A11" s="853"/>
      <c r="B11" s="639"/>
      <c r="C11" s="672"/>
      <c r="D11" s="690" t="s">
        <v>81</v>
      </c>
      <c r="E11" s="700">
        <f t="shared" si="0"/>
        <v>0</v>
      </c>
      <c r="F11" s="694" t="str">
        <f t="shared" si="1"/>
        <v>-</v>
      </c>
      <c r="G11" s="700">
        <f t="shared" si="2"/>
        <v>0</v>
      </c>
      <c r="H11" s="703">
        <f t="shared" si="3"/>
        <v>0</v>
      </c>
      <c r="I11" s="700">
        <f t="shared" si="4"/>
        <v>0</v>
      </c>
      <c r="J11" s="703">
        <f t="shared" si="5"/>
        <v>0</v>
      </c>
      <c r="K11" s="700">
        <f t="shared" si="6"/>
        <v>0</v>
      </c>
      <c r="L11" s="709" t="str">
        <f t="shared" si="7"/>
        <v>-</v>
      </c>
      <c r="M11" s="541"/>
    </row>
    <row r="12" spans="1:13" ht="10.5" customHeight="1">
      <c r="A12" s="853"/>
      <c r="B12" s="639"/>
      <c r="C12" s="654"/>
      <c r="D12" s="691" t="s">
        <v>82</v>
      </c>
      <c r="E12" s="700">
        <f t="shared" si="0"/>
        <v>0</v>
      </c>
      <c r="F12" s="694" t="str">
        <f t="shared" si="1"/>
        <v>-</v>
      </c>
      <c r="G12" s="700">
        <f t="shared" si="2"/>
        <v>0</v>
      </c>
      <c r="H12" s="703">
        <f t="shared" si="3"/>
        <v>0</v>
      </c>
      <c r="I12" s="700">
        <f t="shared" si="4"/>
        <v>0</v>
      </c>
      <c r="J12" s="703">
        <f t="shared" si="5"/>
        <v>0</v>
      </c>
      <c r="K12" s="700">
        <f t="shared" si="6"/>
        <v>0</v>
      </c>
      <c r="L12" s="709" t="str">
        <f t="shared" si="7"/>
        <v>-</v>
      </c>
      <c r="M12" s="541"/>
    </row>
    <row r="13" spans="1:13" ht="10.5" customHeight="1" thickBot="1">
      <c r="A13" s="853"/>
      <c r="B13" s="689"/>
      <c r="C13" s="1430" t="s">
        <v>83</v>
      </c>
      <c r="D13" s="1431"/>
      <c r="E13" s="701">
        <f t="shared" si="0"/>
        <v>0</v>
      </c>
      <c r="F13" s="696" t="str">
        <f t="shared" si="1"/>
        <v>-</v>
      </c>
      <c r="G13" s="701">
        <f t="shared" si="2"/>
        <v>300</v>
      </c>
      <c r="H13" s="704">
        <f t="shared" si="3"/>
        <v>60</v>
      </c>
      <c r="I13" s="701">
        <f t="shared" si="4"/>
        <v>3913</v>
      </c>
      <c r="J13" s="704">
        <f t="shared" si="5"/>
        <v>96.3</v>
      </c>
      <c r="K13" s="701">
        <f t="shared" si="6"/>
        <v>0</v>
      </c>
      <c r="L13" s="710" t="str">
        <f t="shared" si="7"/>
        <v>-</v>
      </c>
      <c r="M13" s="541"/>
    </row>
    <row r="14" spans="1:13" ht="14.25" thickTop="1">
      <c r="A14" s="541"/>
      <c r="B14" s="853"/>
      <c r="C14" s="853"/>
      <c r="D14" s="853"/>
      <c r="E14" s="885"/>
      <c r="F14" s="886"/>
      <c r="G14" s="885"/>
      <c r="H14" s="886"/>
      <c r="I14" s="885"/>
      <c r="J14" s="886"/>
      <c r="K14" s="885"/>
      <c r="L14" s="886"/>
      <c r="M14" s="541"/>
    </row>
    <row r="15" spans="2:13" ht="13.5">
      <c r="B15" s="542"/>
      <c r="C15" s="542"/>
      <c r="D15" s="542"/>
      <c r="E15" s="555"/>
      <c r="F15" s="556"/>
      <c r="G15" s="555"/>
      <c r="H15" s="556"/>
      <c r="I15" s="555"/>
      <c r="J15" s="556"/>
      <c r="K15" s="555"/>
      <c r="L15" s="556"/>
      <c r="M15" s="492"/>
    </row>
    <row r="16" spans="2:13" ht="13.5">
      <c r="B16" s="542"/>
      <c r="C16" s="542"/>
      <c r="D16" s="542"/>
      <c r="E16" s="555"/>
      <c r="F16" s="556"/>
      <c r="G16" s="555"/>
      <c r="H16" s="556"/>
      <c r="I16" s="555"/>
      <c r="J16" s="556"/>
      <c r="K16" s="555"/>
      <c r="L16" s="556"/>
      <c r="M16" s="492"/>
    </row>
    <row r="17" ht="14.25" thickBot="1"/>
    <row r="18" spans="2:12" ht="13.5">
      <c r="B18" s="1432" t="s">
        <v>380</v>
      </c>
      <c r="C18" s="1433"/>
      <c r="D18" s="1433"/>
      <c r="E18" s="1436" t="s">
        <v>30</v>
      </c>
      <c r="F18" s="1437"/>
      <c r="G18" s="1436" t="s">
        <v>31</v>
      </c>
      <c r="H18" s="1437"/>
      <c r="I18" s="1436" t="s">
        <v>32</v>
      </c>
      <c r="J18" s="1437"/>
      <c r="K18" s="1436" t="s">
        <v>33</v>
      </c>
      <c r="L18" s="1440"/>
    </row>
    <row r="19" spans="2:14" ht="13.5">
      <c r="B19" s="1434"/>
      <c r="C19" s="1435"/>
      <c r="D19" s="1435"/>
      <c r="E19" s="1438"/>
      <c r="F19" s="1439"/>
      <c r="G19" s="1438"/>
      <c r="H19" s="1439"/>
      <c r="I19" s="1438"/>
      <c r="J19" s="1439"/>
      <c r="K19" s="1441" t="s">
        <v>34</v>
      </c>
      <c r="L19" s="1442"/>
      <c r="N19" s="500" t="s">
        <v>459</v>
      </c>
    </row>
    <row r="20" spans="2:12" ht="13.5">
      <c r="B20" s="1434"/>
      <c r="C20" s="1435"/>
      <c r="D20" s="1435"/>
      <c r="E20" s="544"/>
      <c r="F20" s="481" t="s">
        <v>372</v>
      </c>
      <c r="G20" s="493"/>
      <c r="H20" s="481" t="s">
        <v>372</v>
      </c>
      <c r="I20" s="493"/>
      <c r="J20" s="481" t="s">
        <v>372</v>
      </c>
      <c r="K20" s="493"/>
      <c r="L20" s="548" t="s">
        <v>372</v>
      </c>
    </row>
    <row r="21" spans="2:12" ht="13.5">
      <c r="B21" s="549"/>
      <c r="C21" s="550"/>
      <c r="D21" s="550"/>
      <c r="E21" s="551" t="s">
        <v>362</v>
      </c>
      <c r="F21" s="552" t="s">
        <v>363</v>
      </c>
      <c r="G21" s="552" t="s">
        <v>362</v>
      </c>
      <c r="H21" s="552" t="s">
        <v>363</v>
      </c>
      <c r="I21" s="552" t="s">
        <v>362</v>
      </c>
      <c r="J21" s="552" t="s">
        <v>363</v>
      </c>
      <c r="K21" s="552" t="s">
        <v>362</v>
      </c>
      <c r="L21" s="553" t="s">
        <v>363</v>
      </c>
    </row>
    <row r="22" spans="2:12" ht="13.5">
      <c r="B22" s="538" t="s">
        <v>440</v>
      </c>
      <c r="C22" s="499"/>
      <c r="D22" s="499"/>
      <c r="E22" s="555">
        <f>SUM(E23,E29)</f>
        <v>0</v>
      </c>
      <c r="F22" s="563" t="e">
        <f>F23+F29</f>
        <v>#DIV/0!</v>
      </c>
      <c r="G22" s="555">
        <f>SUM(G23,G29)</f>
        <v>500</v>
      </c>
      <c r="H22" s="563">
        <f>+H23+H29</f>
        <v>100</v>
      </c>
      <c r="I22" s="555">
        <f>SUM(I23,I29)</f>
        <v>4063</v>
      </c>
      <c r="J22" s="563">
        <f>+J23+J29</f>
        <v>100</v>
      </c>
      <c r="K22" s="555">
        <f>SUM(K23,K29)</f>
        <v>0</v>
      </c>
      <c r="L22" s="564" t="e">
        <f>+L23+L29</f>
        <v>#DIV/0!</v>
      </c>
    </row>
    <row r="23" spans="2:12" ht="13.5">
      <c r="B23" s="514"/>
      <c r="C23" s="501" t="s">
        <v>75</v>
      </c>
      <c r="D23" s="501"/>
      <c r="E23" s="557">
        <f aca="true" t="shared" si="8" ref="E23:L23">SUM(E24:E28)</f>
        <v>0</v>
      </c>
      <c r="F23" s="554" t="e">
        <f t="shared" si="8"/>
        <v>#DIV/0!</v>
      </c>
      <c r="G23" s="557">
        <f t="shared" si="8"/>
        <v>200</v>
      </c>
      <c r="H23" s="554">
        <f t="shared" si="8"/>
        <v>40</v>
      </c>
      <c r="I23" s="557">
        <f t="shared" si="8"/>
        <v>150</v>
      </c>
      <c r="J23" s="554">
        <f t="shared" si="8"/>
        <v>3.7</v>
      </c>
      <c r="K23" s="557">
        <f t="shared" si="8"/>
        <v>0</v>
      </c>
      <c r="L23" s="565" t="e">
        <f t="shared" si="8"/>
        <v>#DIV/0!</v>
      </c>
    </row>
    <row r="24" spans="2:12" ht="13.5">
      <c r="B24" s="515"/>
      <c r="C24" s="482"/>
      <c r="D24" s="501" t="s">
        <v>76</v>
      </c>
      <c r="E24" s="557">
        <f>'表８'!L7</f>
        <v>0</v>
      </c>
      <c r="F24" s="566" t="e">
        <f aca="true" t="shared" si="9" ref="F24:F29">ROUND(E24/$E$22*100,1)</f>
        <v>#DIV/0!</v>
      </c>
      <c r="G24" s="567">
        <f>'表９'!L7</f>
        <v>0</v>
      </c>
      <c r="H24" s="566">
        <f aca="true" t="shared" si="10" ref="H24:H29">ROUND(G24/$G$22*100,1)</f>
        <v>0</v>
      </c>
      <c r="I24" s="567">
        <f>'表１０'!L7</f>
        <v>0</v>
      </c>
      <c r="J24" s="566">
        <f aca="true" t="shared" si="11" ref="J24:J29">ROUND(I24/$I$22*100,1)</f>
        <v>0</v>
      </c>
      <c r="K24" s="567">
        <f>'表１２'!L7</f>
        <v>0</v>
      </c>
      <c r="L24" s="568" t="e">
        <f aca="true" t="shared" si="12" ref="L24:L29">ROUND(K24/K22*100,1)</f>
        <v>#DIV/0!</v>
      </c>
    </row>
    <row r="25" spans="2:12" ht="13.5">
      <c r="B25" s="515"/>
      <c r="C25" s="483"/>
      <c r="D25" s="501" t="s">
        <v>79</v>
      </c>
      <c r="E25" s="557">
        <f>'表８'!L10</f>
        <v>0</v>
      </c>
      <c r="F25" s="566" t="e">
        <f t="shared" si="9"/>
        <v>#DIV/0!</v>
      </c>
      <c r="G25" s="567">
        <f>'表９'!L10</f>
        <v>200</v>
      </c>
      <c r="H25" s="566">
        <f t="shared" si="10"/>
        <v>40</v>
      </c>
      <c r="I25" s="567">
        <f>'表１０'!L10</f>
        <v>150</v>
      </c>
      <c r="J25" s="566">
        <f t="shared" si="11"/>
        <v>3.7</v>
      </c>
      <c r="K25" s="567">
        <f>'表１２'!L10</f>
        <v>0</v>
      </c>
      <c r="L25" s="568" t="e">
        <f t="shared" si="12"/>
        <v>#DIV/0!</v>
      </c>
    </row>
    <row r="26" spans="2:12" ht="13.5">
      <c r="B26" s="515"/>
      <c r="C26" s="483"/>
      <c r="D26" s="501" t="s">
        <v>80</v>
      </c>
      <c r="E26" s="557">
        <f>'表８'!L11</f>
        <v>0</v>
      </c>
      <c r="F26" s="566" t="e">
        <f t="shared" si="9"/>
        <v>#DIV/0!</v>
      </c>
      <c r="G26" s="567">
        <f>'表９'!L11</f>
        <v>0</v>
      </c>
      <c r="H26" s="566">
        <f t="shared" si="10"/>
        <v>0</v>
      </c>
      <c r="I26" s="567">
        <f>'表１０'!L11</f>
        <v>0</v>
      </c>
      <c r="J26" s="566">
        <f t="shared" si="11"/>
        <v>0</v>
      </c>
      <c r="K26" s="567">
        <f>'表１２'!L11</f>
        <v>0</v>
      </c>
      <c r="L26" s="568" t="e">
        <f t="shared" si="12"/>
        <v>#DIV/0!</v>
      </c>
    </row>
    <row r="27" spans="2:12" ht="13.5">
      <c r="B27" s="515"/>
      <c r="C27" s="483"/>
      <c r="D27" s="501" t="s">
        <v>81</v>
      </c>
      <c r="E27" s="557">
        <f>'表８'!L12</f>
        <v>0</v>
      </c>
      <c r="F27" s="566" t="e">
        <f t="shared" si="9"/>
        <v>#DIV/0!</v>
      </c>
      <c r="G27" s="567">
        <f>'表９'!L12</f>
        <v>0</v>
      </c>
      <c r="H27" s="566">
        <f t="shared" si="10"/>
        <v>0</v>
      </c>
      <c r="I27" s="567">
        <f>'表１０'!L12</f>
        <v>0</v>
      </c>
      <c r="J27" s="566">
        <f t="shared" si="11"/>
        <v>0</v>
      </c>
      <c r="K27" s="567">
        <f>'表１２'!L12</f>
        <v>0</v>
      </c>
      <c r="L27" s="568" t="e">
        <f t="shared" si="12"/>
        <v>#DIV/0!</v>
      </c>
    </row>
    <row r="28" spans="2:12" ht="13.5">
      <c r="B28" s="515"/>
      <c r="C28" s="499"/>
      <c r="D28" s="501" t="s">
        <v>82</v>
      </c>
      <c r="E28" s="557">
        <f>'表８'!L13</f>
        <v>0</v>
      </c>
      <c r="F28" s="566" t="e">
        <f t="shared" si="9"/>
        <v>#DIV/0!</v>
      </c>
      <c r="G28" s="567">
        <f>'表９'!L13</f>
        <v>0</v>
      </c>
      <c r="H28" s="566">
        <f t="shared" si="10"/>
        <v>0</v>
      </c>
      <c r="I28" s="567">
        <f>'表１０'!L13</f>
        <v>0</v>
      </c>
      <c r="J28" s="566">
        <f t="shared" si="11"/>
        <v>0</v>
      </c>
      <c r="K28" s="567">
        <f>'表１２'!L13</f>
        <v>0</v>
      </c>
      <c r="L28" s="568" t="e">
        <f t="shared" si="12"/>
        <v>#DIV/0!</v>
      </c>
    </row>
    <row r="29" spans="2:12" ht="14.25" thickBot="1">
      <c r="B29" s="516"/>
      <c r="C29" s="543" t="s">
        <v>83</v>
      </c>
      <c r="D29" s="543"/>
      <c r="E29" s="558">
        <f>'表８'!L14</f>
        <v>0</v>
      </c>
      <c r="F29" s="569" t="e">
        <f t="shared" si="9"/>
        <v>#DIV/0!</v>
      </c>
      <c r="G29" s="570">
        <f>'表９'!L14</f>
        <v>300</v>
      </c>
      <c r="H29" s="569">
        <f t="shared" si="10"/>
        <v>60</v>
      </c>
      <c r="I29" s="570">
        <f>'表１０'!L14</f>
        <v>3913</v>
      </c>
      <c r="J29" s="569">
        <f t="shared" si="11"/>
        <v>96.3</v>
      </c>
      <c r="K29" s="570">
        <f>'表１２'!L14</f>
        <v>0</v>
      </c>
      <c r="L29" s="571" t="e">
        <f t="shared" si="12"/>
        <v>#DIV/0!</v>
      </c>
    </row>
  </sheetData>
  <sheetProtection/>
  <mergeCells count="14">
    <mergeCell ref="K18:L18"/>
    <mergeCell ref="K19:L19"/>
    <mergeCell ref="B2:D4"/>
    <mergeCell ref="E2:F3"/>
    <mergeCell ref="G2:H3"/>
    <mergeCell ref="I2:J3"/>
    <mergeCell ref="K2:L3"/>
    <mergeCell ref="B5:D6"/>
    <mergeCell ref="C7:D7"/>
    <mergeCell ref="C13:D13"/>
    <mergeCell ref="B18:D20"/>
    <mergeCell ref="E18:F19"/>
    <mergeCell ref="G18:H19"/>
    <mergeCell ref="I18:J19"/>
  </mergeCells>
  <printOptions/>
  <pageMargins left="0.7" right="0.7" top="0.75" bottom="0.75" header="0.3" footer="0.3"/>
  <pageSetup orientation="portrait" paperSize="9"/>
  <ignoredErrors>
    <ignoredError sqref="F6:F13 G6:G7 G8:G13 I6:I13 K6:K13 H6:H13 J6:J13" formula="1"/>
  </ignoredErrors>
</worksheet>
</file>

<file path=xl/worksheets/sheet37.xml><?xml version="1.0" encoding="utf-8"?>
<worksheet xmlns="http://schemas.openxmlformats.org/spreadsheetml/2006/main" xmlns:r="http://schemas.openxmlformats.org/officeDocument/2006/relationships">
  <sheetPr>
    <tabColor rgb="FFFF0000"/>
  </sheetPr>
  <dimension ref="A1:J23"/>
  <sheetViews>
    <sheetView showGridLines="0" zoomScalePageLayoutView="0" workbookViewId="0" topLeftCell="A1">
      <selection activeCell="H11" sqref="H11"/>
    </sheetView>
  </sheetViews>
  <sheetFormatPr defaultColWidth="9.00390625" defaultRowHeight="13.5"/>
  <cols>
    <col min="2" max="3" width="2.25390625" style="0" customWidth="1"/>
    <col min="4" max="4" width="3.00390625" style="0" customWidth="1"/>
    <col min="5" max="5" width="11.00390625" style="0" bestFit="1" customWidth="1"/>
    <col min="6" max="6" width="10.625" style="0" customWidth="1"/>
    <col min="7" max="7" width="10.00390625" style="0" customWidth="1"/>
    <col min="8" max="8" width="13.125" style="0" bestFit="1" customWidth="1"/>
    <col min="9" max="9" width="10.00390625" style="0" customWidth="1"/>
  </cols>
  <sheetData>
    <row r="1" spans="1:10" ht="14.25" thickBot="1">
      <c r="A1" s="541"/>
      <c r="B1" s="858" t="s">
        <v>466</v>
      </c>
      <c r="C1" s="859"/>
      <c r="D1" s="859"/>
      <c r="E1" s="859"/>
      <c r="F1" s="859"/>
      <c r="G1" s="859"/>
      <c r="H1" s="859"/>
      <c r="I1" s="859"/>
      <c r="J1" s="541"/>
    </row>
    <row r="2" spans="1:10" ht="14.25" thickTop="1">
      <c r="A2" s="853"/>
      <c r="B2" s="1468" t="s">
        <v>460</v>
      </c>
      <c r="C2" s="1468"/>
      <c r="D2" s="1468"/>
      <c r="E2" s="1469"/>
      <c r="F2" s="1466" t="s">
        <v>461</v>
      </c>
      <c r="G2" s="1467"/>
      <c r="H2" s="1471" t="s">
        <v>544</v>
      </c>
      <c r="I2" s="771" t="s">
        <v>547</v>
      </c>
      <c r="J2" s="541"/>
    </row>
    <row r="3" spans="1:10" ht="13.5">
      <c r="A3" s="853"/>
      <c r="B3" s="1470"/>
      <c r="C3" s="1470"/>
      <c r="D3" s="1470"/>
      <c r="E3" s="1467"/>
      <c r="F3" s="624" t="s">
        <v>545</v>
      </c>
      <c r="G3" s="624" t="s">
        <v>451</v>
      </c>
      <c r="H3" s="1472"/>
      <c r="I3" s="623" t="s">
        <v>546</v>
      </c>
      <c r="J3" s="541"/>
    </row>
    <row r="4" spans="1:10" ht="13.5">
      <c r="A4" s="853"/>
      <c r="B4" s="1473" t="s">
        <v>462</v>
      </c>
      <c r="C4" s="1473"/>
      <c r="D4" s="1473"/>
      <c r="E4" s="1474"/>
      <c r="F4" s="625" t="s">
        <v>441</v>
      </c>
      <c r="G4" s="625" t="s">
        <v>445</v>
      </c>
      <c r="H4" s="625" t="s">
        <v>441</v>
      </c>
      <c r="I4" s="589" t="s">
        <v>445</v>
      </c>
      <c r="J4" s="541"/>
    </row>
    <row r="5" spans="1:10" ht="13.5">
      <c r="A5" s="853"/>
      <c r="B5" s="1475"/>
      <c r="C5" s="1476"/>
      <c r="D5" s="1476"/>
      <c r="E5" s="1477"/>
      <c r="F5" s="626">
        <f>SUM(F6,F17,F18)</f>
        <v>4208205</v>
      </c>
      <c r="G5" s="627">
        <f>ROUND(F5/$F$5*100,1)</f>
        <v>100</v>
      </c>
      <c r="H5" s="626">
        <f>'表２'!J3</f>
        <v>185172618</v>
      </c>
      <c r="I5" s="628">
        <f>F5/H5*100</f>
        <v>2.272584923976179</v>
      </c>
      <c r="J5" s="541"/>
    </row>
    <row r="6" spans="1:10" ht="13.5">
      <c r="A6" s="541"/>
      <c r="B6" s="629"/>
      <c r="C6" s="1455" t="s">
        <v>463</v>
      </c>
      <c r="D6" s="1480"/>
      <c r="E6" s="1481"/>
      <c r="F6" s="630">
        <f>SUM(F7:F16)</f>
        <v>3208687</v>
      </c>
      <c r="G6" s="631">
        <f aca="true" t="shared" si="0" ref="G6:G18">ROUND(F6/$F$5*100,1)</f>
        <v>76.2</v>
      </c>
      <c r="H6" s="630">
        <f>'表２'!J4</f>
        <v>155605191</v>
      </c>
      <c r="I6" s="632">
        <f aca="true" t="shared" si="1" ref="I6:I18">F6/H6*100</f>
        <v>2.062069381734186</v>
      </c>
      <c r="J6" s="541"/>
    </row>
    <row r="7" spans="1:10" ht="13.5">
      <c r="A7" s="541"/>
      <c r="B7" s="633"/>
      <c r="C7" s="629"/>
      <c r="D7" s="1461" t="s">
        <v>421</v>
      </c>
      <c r="E7" s="1457"/>
      <c r="F7" s="634">
        <f>'表２０'!K21</f>
        <v>6829</v>
      </c>
      <c r="G7" s="635">
        <f t="shared" si="0"/>
        <v>0.2</v>
      </c>
      <c r="H7" s="636">
        <f>'表２'!J5</f>
        <v>1493749</v>
      </c>
      <c r="I7" s="637">
        <f t="shared" si="1"/>
        <v>0.45717185417362627</v>
      </c>
      <c r="J7" s="541"/>
    </row>
    <row r="8" spans="1:10" ht="13.5">
      <c r="A8" s="541"/>
      <c r="B8" s="633"/>
      <c r="C8" s="633"/>
      <c r="D8" s="1461" t="s">
        <v>422</v>
      </c>
      <c r="E8" s="1457"/>
      <c r="F8" s="634">
        <f>'表２０'!K22</f>
        <v>56843</v>
      </c>
      <c r="G8" s="635">
        <f t="shared" si="0"/>
        <v>1.4</v>
      </c>
      <c r="H8" s="636">
        <f>'表２'!J6</f>
        <v>67762179</v>
      </c>
      <c r="I8" s="637">
        <f t="shared" si="1"/>
        <v>0.0838860273368718</v>
      </c>
      <c r="J8" s="541"/>
    </row>
    <row r="9" spans="1:10" ht="13.5">
      <c r="A9" s="541"/>
      <c r="B9" s="633"/>
      <c r="C9" s="633"/>
      <c r="D9" s="1461" t="s">
        <v>423</v>
      </c>
      <c r="E9" s="1457"/>
      <c r="F9" s="634">
        <f>'表２０'!K23</f>
        <v>32626</v>
      </c>
      <c r="G9" s="635">
        <f t="shared" si="0"/>
        <v>0.8</v>
      </c>
      <c r="H9" s="636">
        <f>'表２'!J7</f>
        <v>37540518</v>
      </c>
      <c r="I9" s="637">
        <f t="shared" si="1"/>
        <v>0.08690876348589543</v>
      </c>
      <c r="J9" s="541"/>
    </row>
    <row r="10" spans="1:10" ht="13.5">
      <c r="A10" s="541"/>
      <c r="B10" s="633"/>
      <c r="C10" s="633"/>
      <c r="D10" s="1461" t="s">
        <v>424</v>
      </c>
      <c r="E10" s="1457"/>
      <c r="F10" s="634">
        <f>'表２０'!K9</f>
        <v>674</v>
      </c>
      <c r="G10" s="635">
        <f t="shared" si="0"/>
        <v>0</v>
      </c>
      <c r="H10" s="636">
        <f>'表２'!J8</f>
        <v>10008782</v>
      </c>
      <c r="I10" s="637">
        <f t="shared" si="1"/>
        <v>0.0067340861255645295</v>
      </c>
      <c r="J10" s="541"/>
    </row>
    <row r="11" spans="1:10" ht="13.5">
      <c r="A11" s="541"/>
      <c r="B11" s="633"/>
      <c r="C11" s="633"/>
      <c r="D11" s="1463" t="s">
        <v>425</v>
      </c>
      <c r="E11" s="808" t="s">
        <v>426</v>
      </c>
      <c r="F11" s="634">
        <f>'表２０'!K10</f>
        <v>2874223</v>
      </c>
      <c r="G11" s="635">
        <f t="shared" si="0"/>
        <v>68.3</v>
      </c>
      <c r="H11" s="636">
        <f>'表２'!J9</f>
        <v>33668766</v>
      </c>
      <c r="I11" s="637">
        <f t="shared" si="1"/>
        <v>8.53676371744661</v>
      </c>
      <c r="J11" s="541"/>
    </row>
    <row r="12" spans="1:10" ht="13.5">
      <c r="A12" s="541"/>
      <c r="B12" s="633"/>
      <c r="C12" s="633"/>
      <c r="D12" s="1464"/>
      <c r="E12" s="808" t="s">
        <v>427</v>
      </c>
      <c r="F12" s="634">
        <f>'表２０'!K11</f>
        <v>10369</v>
      </c>
      <c r="G12" s="635">
        <f t="shared" si="0"/>
        <v>0.2</v>
      </c>
      <c r="H12" s="636">
        <f>'表２'!J10</f>
        <v>942570</v>
      </c>
      <c r="I12" s="637">
        <f t="shared" si="1"/>
        <v>1.1000774478288085</v>
      </c>
      <c r="J12" s="541"/>
    </row>
    <row r="13" spans="1:10" ht="13.5">
      <c r="A13" s="541"/>
      <c r="B13" s="633"/>
      <c r="C13" s="633"/>
      <c r="D13" s="1465"/>
      <c r="E13" s="808" t="s">
        <v>428</v>
      </c>
      <c r="F13" s="634">
        <f>'表２０'!K12</f>
        <v>4098</v>
      </c>
      <c r="G13" s="635">
        <f t="shared" si="0"/>
        <v>0.1</v>
      </c>
      <c r="H13" s="636">
        <f>'表２'!J11</f>
        <v>168970</v>
      </c>
      <c r="I13" s="637">
        <f t="shared" si="1"/>
        <v>2.42528259454341</v>
      </c>
      <c r="J13" s="541"/>
    </row>
    <row r="14" spans="1:10" ht="13.5">
      <c r="A14" s="541"/>
      <c r="B14" s="633"/>
      <c r="C14" s="633"/>
      <c r="D14" s="1461" t="s">
        <v>429</v>
      </c>
      <c r="E14" s="1457"/>
      <c r="F14" s="634">
        <f>'表２０'!K14</f>
        <v>147625</v>
      </c>
      <c r="G14" s="635">
        <f t="shared" si="0"/>
        <v>3.5</v>
      </c>
      <c r="H14" s="636">
        <f>'表２'!J13</f>
        <v>2307137</v>
      </c>
      <c r="I14" s="637">
        <f t="shared" si="1"/>
        <v>6.398623055327881</v>
      </c>
      <c r="J14" s="541"/>
    </row>
    <row r="15" spans="1:10" ht="13.5">
      <c r="A15" s="541"/>
      <c r="B15" s="633"/>
      <c r="C15" s="633"/>
      <c r="D15" s="1461" t="s">
        <v>430</v>
      </c>
      <c r="E15" s="1457"/>
      <c r="F15" s="634">
        <f>'表２０'!K15</f>
        <v>16299</v>
      </c>
      <c r="G15" s="635">
        <f t="shared" si="0"/>
        <v>0.4</v>
      </c>
      <c r="H15" s="634">
        <f>'表２'!J14</f>
        <v>212128</v>
      </c>
      <c r="I15" s="637">
        <f t="shared" si="1"/>
        <v>7.683568411525117</v>
      </c>
      <c r="J15" s="541"/>
    </row>
    <row r="16" spans="1:10" ht="13.5">
      <c r="A16" s="541"/>
      <c r="B16" s="633"/>
      <c r="C16" s="633"/>
      <c r="D16" s="1461" t="s">
        <v>443</v>
      </c>
      <c r="E16" s="1457"/>
      <c r="F16" s="634">
        <f>'表２０'!K31</f>
        <v>59101</v>
      </c>
      <c r="G16" s="635">
        <f t="shared" si="0"/>
        <v>1.4</v>
      </c>
      <c r="H16" s="634">
        <f>'表２'!J15</f>
        <v>1500392</v>
      </c>
      <c r="I16" s="637">
        <f t="shared" si="1"/>
        <v>3.939037264928099</v>
      </c>
      <c r="J16" s="541"/>
    </row>
    <row r="17" spans="1:10" ht="13.5">
      <c r="A17" s="541"/>
      <c r="B17" s="633"/>
      <c r="C17" s="1455" t="s">
        <v>464</v>
      </c>
      <c r="D17" s="1456"/>
      <c r="E17" s="1457"/>
      <c r="F17" s="630">
        <f>'表２０'!K18+'表２０'!K33</f>
        <v>512584</v>
      </c>
      <c r="G17" s="631">
        <f t="shared" si="0"/>
        <v>12.2</v>
      </c>
      <c r="H17" s="630">
        <f>'表２'!J16</f>
        <v>17407800</v>
      </c>
      <c r="I17" s="632">
        <f t="shared" si="1"/>
        <v>2.9445650800215994</v>
      </c>
      <c r="J17" s="541"/>
    </row>
    <row r="18" spans="1:10" ht="14.25" thickBot="1">
      <c r="A18" s="541"/>
      <c r="B18" s="713"/>
      <c r="C18" s="1458" t="s">
        <v>465</v>
      </c>
      <c r="D18" s="1459"/>
      <c r="E18" s="1460"/>
      <c r="F18" s="714">
        <f>'表２０'!K19+'表２０'!K34</f>
        <v>486934</v>
      </c>
      <c r="G18" s="715">
        <f t="shared" si="0"/>
        <v>11.6</v>
      </c>
      <c r="H18" s="714">
        <f>'表２'!J17</f>
        <v>12159627</v>
      </c>
      <c r="I18" s="716">
        <f t="shared" si="1"/>
        <v>4.0045142832095095</v>
      </c>
      <c r="J18" s="541"/>
    </row>
    <row r="19" spans="1:10" ht="14.25" thickTop="1">
      <c r="A19" s="541"/>
      <c r="B19" s="1479" t="s">
        <v>541</v>
      </c>
      <c r="C19" s="1479"/>
      <c r="D19" s="717" t="s">
        <v>542</v>
      </c>
      <c r="E19" s="717"/>
      <c r="F19" s="717"/>
      <c r="G19" s="717"/>
      <c r="H19" s="717"/>
      <c r="I19" s="717"/>
      <c r="J19" s="884"/>
    </row>
    <row r="20" spans="1:10" ht="13.5" customHeight="1">
      <c r="A20" s="541"/>
      <c r="B20" s="1462" t="s">
        <v>540</v>
      </c>
      <c r="C20" s="1462"/>
      <c r="D20" s="1478" t="s">
        <v>543</v>
      </c>
      <c r="E20" s="1478"/>
      <c r="F20" s="1478"/>
      <c r="G20" s="1478"/>
      <c r="H20" s="1478"/>
      <c r="I20" s="1478"/>
      <c r="J20" s="541"/>
    </row>
    <row r="21" spans="1:10" ht="13.5">
      <c r="A21" s="541"/>
      <c r="B21" s="718"/>
      <c r="C21" s="583"/>
      <c r="D21" s="1478"/>
      <c r="E21" s="1478"/>
      <c r="F21" s="1478"/>
      <c r="G21" s="1478"/>
      <c r="H21" s="1478"/>
      <c r="I21" s="1478"/>
      <c r="J21" s="541"/>
    </row>
    <row r="22" spans="1:10" ht="13.5">
      <c r="A22" s="541"/>
      <c r="B22" s="541"/>
      <c r="C22" s="541"/>
      <c r="D22" s="887"/>
      <c r="E22" s="541"/>
      <c r="F22" s="541"/>
      <c r="G22" s="541"/>
      <c r="H22" s="541"/>
      <c r="I22" s="541"/>
      <c r="J22" s="541"/>
    </row>
    <row r="23" spans="1:10" ht="13.5">
      <c r="A23" s="541"/>
      <c r="B23" s="541"/>
      <c r="C23" s="541"/>
      <c r="D23" s="541"/>
      <c r="E23" s="541"/>
      <c r="F23" s="541"/>
      <c r="G23" s="541"/>
      <c r="H23" s="541"/>
      <c r="I23" s="541"/>
      <c r="J23" s="541"/>
    </row>
  </sheetData>
  <sheetProtection/>
  <mergeCells count="18">
    <mergeCell ref="B20:C20"/>
    <mergeCell ref="D11:D13"/>
    <mergeCell ref="F2:G2"/>
    <mergeCell ref="B2:E3"/>
    <mergeCell ref="H2:H3"/>
    <mergeCell ref="B4:E5"/>
    <mergeCell ref="D20:I21"/>
    <mergeCell ref="B19:C19"/>
    <mergeCell ref="C6:E6"/>
    <mergeCell ref="D7:E7"/>
    <mergeCell ref="C17:E17"/>
    <mergeCell ref="C18:E18"/>
    <mergeCell ref="D8:E8"/>
    <mergeCell ref="D9:E9"/>
    <mergeCell ref="D10:E10"/>
    <mergeCell ref="D14:E14"/>
    <mergeCell ref="D15:E15"/>
    <mergeCell ref="D16:E16"/>
  </mergeCells>
  <printOptions/>
  <pageMargins left="0.7" right="0.7" top="0.75" bottom="0.75" header="0.3" footer="0.3"/>
  <pageSetup orientation="portrait" paperSize="9" r:id="rId1"/>
</worksheet>
</file>

<file path=xl/worksheets/sheet38.xml><?xml version="1.0" encoding="utf-8"?>
<worksheet xmlns="http://schemas.openxmlformats.org/spreadsheetml/2006/main" xmlns:r="http://schemas.openxmlformats.org/officeDocument/2006/relationships">
  <sheetPr>
    <tabColor rgb="FFFF0000"/>
  </sheetPr>
  <dimension ref="A1:M19"/>
  <sheetViews>
    <sheetView showGridLines="0" workbookViewId="0" topLeftCell="A1">
      <selection activeCell="H11" sqref="H11"/>
    </sheetView>
  </sheetViews>
  <sheetFormatPr defaultColWidth="9.00390625" defaultRowHeight="13.5"/>
  <cols>
    <col min="2" max="2" width="1.12109375" style="0" customWidth="1"/>
    <col min="3" max="3" width="18.625" style="0" customWidth="1"/>
    <col min="4" max="4" width="10.00390625" style="0" customWidth="1"/>
    <col min="5" max="5" width="7.125" style="0" bestFit="1" customWidth="1"/>
    <col min="6" max="6" width="7.375" style="0" customWidth="1"/>
    <col min="7" max="7" width="5.75390625" style="0" customWidth="1"/>
    <col min="8" max="8" width="7.375" style="0" customWidth="1"/>
    <col min="9" max="9" width="5.75390625" style="0" customWidth="1"/>
    <col min="10" max="10" width="7.375" style="0" customWidth="1"/>
    <col min="11" max="11" width="5.25390625" style="0" bestFit="1" customWidth="1"/>
  </cols>
  <sheetData>
    <row r="1" spans="1:12" ht="13.5">
      <c r="A1" s="541"/>
      <c r="B1" s="541"/>
      <c r="C1" s="541"/>
      <c r="D1" s="541"/>
      <c r="E1" s="541"/>
      <c r="F1" s="541"/>
      <c r="G1" s="541"/>
      <c r="H1" s="541"/>
      <c r="I1" s="541"/>
      <c r="J1" s="541"/>
      <c r="K1" s="541"/>
      <c r="L1" s="541"/>
    </row>
    <row r="2" spans="1:12" ht="14.25" thickBot="1">
      <c r="A2" s="541"/>
      <c r="B2" s="859"/>
      <c r="C2" s="858" t="s">
        <v>488</v>
      </c>
      <c r="D2" s="859"/>
      <c r="E2" s="859"/>
      <c r="F2" s="859"/>
      <c r="G2" s="859"/>
      <c r="H2" s="859"/>
      <c r="I2" s="859"/>
      <c r="J2" s="859"/>
      <c r="K2" s="859"/>
      <c r="L2" s="541"/>
    </row>
    <row r="3" spans="1:12" ht="14.25" thickTop="1">
      <c r="A3" s="541"/>
      <c r="B3" s="1482" t="s">
        <v>548</v>
      </c>
      <c r="C3" s="1483"/>
      <c r="D3" s="1486" t="s">
        <v>467</v>
      </c>
      <c r="E3" s="1486"/>
      <c r="F3" s="1487" t="s">
        <v>468</v>
      </c>
      <c r="G3" s="1487"/>
      <c r="H3" s="1487"/>
      <c r="I3" s="1487"/>
      <c r="J3" s="1487"/>
      <c r="K3" s="1488"/>
      <c r="L3" s="541"/>
    </row>
    <row r="4" spans="1:12" ht="13.5">
      <c r="A4" s="853"/>
      <c r="B4" s="1484"/>
      <c r="C4" s="1485"/>
      <c r="D4" s="777"/>
      <c r="E4" s="778" t="s">
        <v>469</v>
      </c>
      <c r="F4" s="779" t="s">
        <v>110</v>
      </c>
      <c r="G4" s="780" t="s">
        <v>470</v>
      </c>
      <c r="H4" s="779" t="s">
        <v>117</v>
      </c>
      <c r="I4" s="780" t="s">
        <v>470</v>
      </c>
      <c r="J4" s="779" t="s">
        <v>118</v>
      </c>
      <c r="K4" s="781" t="s">
        <v>470</v>
      </c>
      <c r="L4" s="541"/>
    </row>
    <row r="5" spans="1:13" ht="13.5">
      <c r="A5" s="541"/>
      <c r="B5" s="1489" t="s">
        <v>471</v>
      </c>
      <c r="C5" s="1490"/>
      <c r="D5" s="783" t="s">
        <v>472</v>
      </c>
      <c r="E5" s="784" t="s">
        <v>445</v>
      </c>
      <c r="F5" s="783" t="s">
        <v>472</v>
      </c>
      <c r="G5" s="784" t="s">
        <v>445</v>
      </c>
      <c r="H5" s="783" t="s">
        <v>472</v>
      </c>
      <c r="I5" s="784" t="s">
        <v>445</v>
      </c>
      <c r="J5" s="783" t="s">
        <v>472</v>
      </c>
      <c r="K5" s="785" t="s">
        <v>445</v>
      </c>
      <c r="L5" s="853"/>
      <c r="M5" s="573"/>
    </row>
    <row r="6" spans="1:13" ht="13.5">
      <c r="A6" s="541"/>
      <c r="B6" s="1489"/>
      <c r="C6" s="1490"/>
      <c r="D6" s="786">
        <f>SUM(D7:D11)</f>
        <v>3214421</v>
      </c>
      <c r="E6" s="787">
        <f aca="true" t="shared" si="0" ref="E6:E11">ROUND(D6/$D$6*100,1)</f>
        <v>100</v>
      </c>
      <c r="F6" s="788">
        <f>SUM(F7:F11)</f>
        <v>2484469</v>
      </c>
      <c r="G6" s="789">
        <f>ROUND(F6/$D$6*100,1)</f>
        <v>77.3</v>
      </c>
      <c r="H6" s="786">
        <f>SUM(H7:H11)</f>
        <v>729868</v>
      </c>
      <c r="I6" s="789">
        <f>ROUND(H6/$D$6*100,1)</f>
        <v>22.7</v>
      </c>
      <c r="J6" s="790">
        <f>SUM(J7:J11)</f>
        <v>0</v>
      </c>
      <c r="K6" s="791" t="str">
        <f aca="true" t="shared" si="1" ref="K6:K11">IF(J6=0,"-",ROUND(J6/$D$6*100,1))</f>
        <v>-</v>
      </c>
      <c r="L6" s="541"/>
      <c r="M6" s="573">
        <f>SUM(G6,I6,K6)</f>
        <v>100</v>
      </c>
    </row>
    <row r="7" spans="1:13" ht="13.5">
      <c r="A7" s="853"/>
      <c r="B7" s="792"/>
      <c r="C7" s="803" t="s">
        <v>473</v>
      </c>
      <c r="D7" s="793">
        <f>'表２３'!D9</f>
        <v>1516527</v>
      </c>
      <c r="E7" s="787">
        <f t="shared" si="0"/>
        <v>47.2</v>
      </c>
      <c r="F7" s="793">
        <f>'表２３'!K9</f>
        <v>1079495</v>
      </c>
      <c r="G7" s="789">
        <f>ROUND(F7/$F$6*100,1)</f>
        <v>43.4</v>
      </c>
      <c r="H7" s="793">
        <f>'表２３'!L9</f>
        <v>437032</v>
      </c>
      <c r="I7" s="789">
        <f>ROUND(H7/$H$6*100,1)</f>
        <v>59.9</v>
      </c>
      <c r="J7" s="794">
        <f>'表２３'!M9</f>
        <v>0</v>
      </c>
      <c r="K7" s="791" t="str">
        <f t="shared" si="1"/>
        <v>-</v>
      </c>
      <c r="L7" s="541"/>
      <c r="M7" s="573"/>
    </row>
    <row r="8" spans="1:13" ht="13.5">
      <c r="A8" s="853"/>
      <c r="B8" s="795"/>
      <c r="C8" s="803" t="s">
        <v>474</v>
      </c>
      <c r="D8" s="793">
        <f>'表２３'!D10</f>
        <v>374728</v>
      </c>
      <c r="E8" s="787">
        <f t="shared" si="0"/>
        <v>11.7</v>
      </c>
      <c r="F8" s="793">
        <f>'表２３'!K10</f>
        <v>240486</v>
      </c>
      <c r="G8" s="796">
        <f>ROUND(F8/$F$6*100,1)</f>
        <v>9.7</v>
      </c>
      <c r="H8" s="793">
        <f>'表２３'!L10</f>
        <v>134158</v>
      </c>
      <c r="I8" s="789">
        <f>ROUND(H8/$H$6*100,1)</f>
        <v>18.4</v>
      </c>
      <c r="J8" s="794">
        <f>'表２３'!M10</f>
        <v>0</v>
      </c>
      <c r="K8" s="791" t="str">
        <f t="shared" si="1"/>
        <v>-</v>
      </c>
      <c r="L8" s="541"/>
      <c r="M8" s="573"/>
    </row>
    <row r="9" spans="1:13" ht="13.5">
      <c r="A9" s="853"/>
      <c r="B9" s="795"/>
      <c r="C9" s="803" t="s">
        <v>475</v>
      </c>
      <c r="D9" s="793">
        <f>'表２３'!D11</f>
        <v>70708</v>
      </c>
      <c r="E9" s="787">
        <f t="shared" si="0"/>
        <v>2.2</v>
      </c>
      <c r="F9" s="793">
        <f>'表２３'!K11</f>
        <v>70538</v>
      </c>
      <c r="G9" s="796">
        <f>ROUND(F9/$F$6*100,1)</f>
        <v>2.8</v>
      </c>
      <c r="H9" s="793">
        <f>'表２３'!L11</f>
        <v>170</v>
      </c>
      <c r="I9" s="789">
        <f>ROUND(H9/$H$6*100,1)</f>
        <v>0</v>
      </c>
      <c r="J9" s="794">
        <f>'表２３'!M11</f>
        <v>0</v>
      </c>
      <c r="K9" s="791" t="str">
        <f t="shared" si="1"/>
        <v>-</v>
      </c>
      <c r="L9" s="541"/>
      <c r="M9" s="573"/>
    </row>
    <row r="10" spans="1:13" ht="13.5">
      <c r="A10" s="853"/>
      <c r="B10" s="795"/>
      <c r="C10" s="803" t="s">
        <v>476</v>
      </c>
      <c r="D10" s="797">
        <f>'表２３'!D12</f>
        <v>267285</v>
      </c>
      <c r="E10" s="787">
        <f t="shared" si="0"/>
        <v>8.3</v>
      </c>
      <c r="F10" s="793">
        <f>'表２３'!K12</f>
        <v>255880</v>
      </c>
      <c r="G10" s="796">
        <f>ROUND(F10/$F$6*100,1)</f>
        <v>10.3</v>
      </c>
      <c r="H10" s="793">
        <f>'表２３'!L12</f>
        <v>11405</v>
      </c>
      <c r="I10" s="789">
        <f>ROUND(H10/$H$6*100,1)</f>
        <v>1.6</v>
      </c>
      <c r="J10" s="794">
        <f>'表２３'!M12</f>
        <v>0</v>
      </c>
      <c r="K10" s="791" t="str">
        <f t="shared" si="1"/>
        <v>-</v>
      </c>
      <c r="L10" s="541"/>
      <c r="M10" s="573"/>
    </row>
    <row r="11" spans="1:13" ht="14.25" thickBot="1">
      <c r="A11" s="853"/>
      <c r="B11" s="798"/>
      <c r="C11" s="817" t="s">
        <v>477</v>
      </c>
      <c r="D11" s="799">
        <f>'表２３'!D13</f>
        <v>985173</v>
      </c>
      <c r="E11" s="892">
        <f t="shared" si="0"/>
        <v>30.6</v>
      </c>
      <c r="F11" s="799">
        <f>'表２３'!K13</f>
        <v>838070</v>
      </c>
      <c r="G11" s="800">
        <f>ROUND(F11/$F$6*100,1)</f>
        <v>33.7</v>
      </c>
      <c r="H11" s="799">
        <f>'表２３'!L13</f>
        <v>147103</v>
      </c>
      <c r="I11" s="800">
        <f>ROUND(H11/$H$6*100,1)</f>
        <v>20.2</v>
      </c>
      <c r="J11" s="801">
        <f>'表２３'!M13</f>
        <v>0</v>
      </c>
      <c r="K11" s="802" t="str">
        <f t="shared" si="1"/>
        <v>-</v>
      </c>
      <c r="L11" s="541"/>
      <c r="M11" s="573"/>
    </row>
    <row r="12" spans="1:12" ht="14.25" thickTop="1">
      <c r="A12" s="541"/>
      <c r="B12" s="541"/>
      <c r="C12" s="541"/>
      <c r="D12" s="541"/>
      <c r="E12" s="541"/>
      <c r="F12" s="541"/>
      <c r="G12" s="541"/>
      <c r="H12" s="541"/>
      <c r="I12" s="853"/>
      <c r="J12" s="541"/>
      <c r="K12" s="541"/>
      <c r="L12" s="541"/>
    </row>
    <row r="13" spans="1:12" ht="13.5">
      <c r="A13" s="541"/>
      <c r="B13" s="541"/>
      <c r="C13" s="541"/>
      <c r="D13" s="541"/>
      <c r="E13" s="888">
        <f>SUM(E7:E11)</f>
        <v>100</v>
      </c>
      <c r="F13" s="541"/>
      <c r="G13" s="541"/>
      <c r="H13" s="541"/>
      <c r="I13" s="541"/>
      <c r="J13" s="541"/>
      <c r="K13" s="541"/>
      <c r="L13" s="541"/>
    </row>
    <row r="14" ht="13.5">
      <c r="E14" s="576" t="str">
        <f>IF(SUM(E7:E11)=100,"OK","構成比100％じゃないよ")</f>
        <v>OK</v>
      </c>
    </row>
    <row r="15" ht="13.5">
      <c r="E15">
        <f>D7/$D$6</f>
        <v>0.47178854294443695</v>
      </c>
    </row>
    <row r="16" ht="13.5">
      <c r="E16">
        <f>D8/$D$6</f>
        <v>0.11657713784224281</v>
      </c>
    </row>
    <row r="17" ht="13.5">
      <c r="E17">
        <f>D9/$D$6</f>
        <v>0.021997118610163385</v>
      </c>
    </row>
    <row r="18" ht="13.5">
      <c r="E18">
        <f>D10/$D$6</f>
        <v>0.0831518335650495</v>
      </c>
    </row>
    <row r="19" ht="13.5">
      <c r="E19">
        <f>D11/$D$6</f>
        <v>0.3064853670381073</v>
      </c>
    </row>
  </sheetData>
  <sheetProtection/>
  <mergeCells count="4">
    <mergeCell ref="B3:C4"/>
    <mergeCell ref="D3:E3"/>
    <mergeCell ref="F3:K3"/>
    <mergeCell ref="B5:C6"/>
  </mergeCells>
  <printOptions/>
  <pageMargins left="0.7" right="0.7" top="0.75" bottom="0.75" header="0.3" footer="0.3"/>
  <pageSetup orientation="portrait" paperSize="9" r:id="rId2"/>
  <ignoredErrors>
    <ignoredError sqref="E6 I6 G6 F7:J8 F6 H6 J6" formula="1"/>
  </ignoredErrors>
  <drawing r:id="rId1"/>
</worksheet>
</file>

<file path=xl/worksheets/sheet39.xml><?xml version="1.0" encoding="utf-8"?>
<worksheet xmlns="http://schemas.openxmlformats.org/spreadsheetml/2006/main" xmlns:r="http://schemas.openxmlformats.org/officeDocument/2006/relationships">
  <sheetPr>
    <tabColor rgb="FFFF0000"/>
  </sheetPr>
  <dimension ref="A1:I18"/>
  <sheetViews>
    <sheetView showGridLines="0" zoomScalePageLayoutView="120" workbookViewId="0" topLeftCell="A1">
      <selection activeCell="H11" sqref="H11"/>
    </sheetView>
  </sheetViews>
  <sheetFormatPr defaultColWidth="9.00390625" defaultRowHeight="13.5"/>
  <cols>
    <col min="2" max="2" width="1.4921875" style="0" customWidth="1"/>
    <col min="3" max="3" width="18.625" style="0" customWidth="1"/>
    <col min="4" max="4" width="11.375" style="0" customWidth="1"/>
    <col min="5" max="5" width="16.00390625" style="0" customWidth="1"/>
    <col min="6" max="6" width="8.375" style="0" customWidth="1"/>
    <col min="7" max="7" width="16.00390625" style="0" customWidth="1"/>
    <col min="8" max="8" width="8.375" style="0" customWidth="1"/>
  </cols>
  <sheetData>
    <row r="1" spans="1:9" ht="13.5">
      <c r="A1" s="541"/>
      <c r="B1" s="857" t="s">
        <v>489</v>
      </c>
      <c r="C1" s="853"/>
      <c r="D1" s="853"/>
      <c r="E1" s="853"/>
      <c r="F1" s="853"/>
      <c r="G1" s="853"/>
      <c r="H1" s="853"/>
      <c r="I1" s="541"/>
    </row>
    <row r="2" spans="1:9" ht="14.25" thickBot="1">
      <c r="A2" s="541"/>
      <c r="B2" s="858"/>
      <c r="C2" s="859"/>
      <c r="D2" s="859"/>
      <c r="E2" s="859"/>
      <c r="F2" s="859"/>
      <c r="G2" s="859"/>
      <c r="H2" s="859"/>
      <c r="I2" s="541"/>
    </row>
    <row r="3" spans="1:9" ht="14.25" thickTop="1">
      <c r="A3" s="853"/>
      <c r="B3" s="1482" t="s">
        <v>548</v>
      </c>
      <c r="C3" s="1483"/>
      <c r="D3" s="1491" t="s">
        <v>478</v>
      </c>
      <c r="E3" s="1493" t="s">
        <v>479</v>
      </c>
      <c r="F3" s="1493"/>
      <c r="G3" s="1493" t="s">
        <v>480</v>
      </c>
      <c r="H3" s="1494"/>
      <c r="I3" s="541"/>
    </row>
    <row r="4" spans="1:9" ht="13.5">
      <c r="A4" s="853"/>
      <c r="B4" s="1484"/>
      <c r="C4" s="1485"/>
      <c r="D4" s="1492"/>
      <c r="E4" s="624" t="s">
        <v>481</v>
      </c>
      <c r="F4" s="624" t="s">
        <v>470</v>
      </c>
      <c r="G4" s="624" t="s">
        <v>481</v>
      </c>
      <c r="H4" s="804" t="s">
        <v>470</v>
      </c>
      <c r="I4" s="541"/>
    </row>
    <row r="5" spans="1:9" ht="13.5">
      <c r="A5" s="853"/>
      <c r="B5" s="1495" t="s">
        <v>482</v>
      </c>
      <c r="C5" s="1496"/>
      <c r="D5" s="625" t="s">
        <v>472</v>
      </c>
      <c r="E5" s="625" t="s">
        <v>472</v>
      </c>
      <c r="F5" s="625" t="s">
        <v>445</v>
      </c>
      <c r="G5" s="625" t="s">
        <v>472</v>
      </c>
      <c r="H5" s="589" t="s">
        <v>445</v>
      </c>
      <c r="I5" s="541"/>
    </row>
    <row r="6" spans="1:9" ht="13.5">
      <c r="A6" s="853"/>
      <c r="B6" s="1497" t="s">
        <v>483</v>
      </c>
      <c r="C6" s="1498"/>
      <c r="D6" s="805">
        <f>SUM(E6,G6)</f>
        <v>5070726</v>
      </c>
      <c r="E6" s="805">
        <f>'表２３'!D14</f>
        <v>1856305</v>
      </c>
      <c r="F6" s="806">
        <f>_xlfn.IFERROR(ROUND(E6/D6*100,1),"-")</f>
        <v>36.6</v>
      </c>
      <c r="G6" s="805">
        <f>'表２３'!D5</f>
        <v>3214421</v>
      </c>
      <c r="H6" s="807">
        <f>ROUND(G6/D6*100,1)</f>
        <v>63.4</v>
      </c>
      <c r="I6" s="541"/>
    </row>
    <row r="7" spans="1:9" ht="13.5">
      <c r="A7" s="853"/>
      <c r="B7" s="593"/>
      <c r="C7" s="827" t="s">
        <v>484</v>
      </c>
      <c r="D7" s="830">
        <f aca="true" t="shared" si="0" ref="D7:D16">SUM(E7,G7)</f>
        <v>0</v>
      </c>
      <c r="E7" s="620">
        <f>'表２３'!D15</f>
        <v>0</v>
      </c>
      <c r="F7" s="809" t="str">
        <f>_xlfn.IFERROR(ROUND(E7/D7*100,1),"-")</f>
        <v>-</v>
      </c>
      <c r="G7" s="810"/>
      <c r="H7" s="811"/>
      <c r="I7" s="541"/>
    </row>
    <row r="8" spans="1:9" ht="13.5">
      <c r="A8" s="853"/>
      <c r="B8" s="597"/>
      <c r="C8" s="827" t="s">
        <v>485</v>
      </c>
      <c r="D8" s="830">
        <f t="shared" si="0"/>
        <v>237396</v>
      </c>
      <c r="E8" s="620">
        <f>'表２３'!D16</f>
        <v>237396</v>
      </c>
      <c r="F8" s="806">
        <f aca="true" t="shared" si="1" ref="F8:F16">_xlfn.IFERROR(ROUND(E8/D8*100,1),"-")</f>
        <v>100</v>
      </c>
      <c r="G8" s="810"/>
      <c r="H8" s="811"/>
      <c r="I8" s="541"/>
    </row>
    <row r="9" spans="1:9" ht="13.5">
      <c r="A9" s="853"/>
      <c r="B9" s="597"/>
      <c r="C9" s="808" t="s">
        <v>486</v>
      </c>
      <c r="D9" s="620">
        <f t="shared" si="0"/>
        <v>1255454</v>
      </c>
      <c r="E9" s="620">
        <f>'表２３'!D17</f>
        <v>1255454</v>
      </c>
      <c r="F9" s="806">
        <f t="shared" si="1"/>
        <v>100</v>
      </c>
      <c r="G9" s="810"/>
      <c r="H9" s="811"/>
      <c r="I9" s="541"/>
    </row>
    <row r="10" spans="1:9" ht="13.5">
      <c r="A10" s="853"/>
      <c r="B10" s="597"/>
      <c r="C10" s="808" t="s">
        <v>473</v>
      </c>
      <c r="D10" s="620">
        <f t="shared" si="0"/>
        <v>1516527</v>
      </c>
      <c r="E10" s="620">
        <f>'表２３'!D18</f>
        <v>0</v>
      </c>
      <c r="F10" s="806">
        <f>_xlfn.IFERROR(ROUND(E10/D10*100,1),"-")</f>
        <v>0</v>
      </c>
      <c r="G10" s="620">
        <f>'表２３'!D9</f>
        <v>1516527</v>
      </c>
      <c r="H10" s="807">
        <f>ROUND(G10/D10*100,1)</f>
        <v>100</v>
      </c>
      <c r="I10" s="541"/>
    </row>
    <row r="11" spans="1:9" ht="13.5">
      <c r="A11" s="853"/>
      <c r="B11" s="597"/>
      <c r="C11" s="808" t="s">
        <v>474</v>
      </c>
      <c r="D11" s="620">
        <f t="shared" si="0"/>
        <v>411205</v>
      </c>
      <c r="E11" s="620">
        <f>'表２３'!D19</f>
        <v>36477</v>
      </c>
      <c r="F11" s="806">
        <f t="shared" si="1"/>
        <v>8.9</v>
      </c>
      <c r="G11" s="620">
        <f>'表２３'!D10</f>
        <v>374728</v>
      </c>
      <c r="H11" s="807">
        <f>ROUND(G11/D11*100,1)</f>
        <v>91.1</v>
      </c>
      <c r="I11" s="541"/>
    </row>
    <row r="12" spans="1:9" ht="13.5">
      <c r="A12" s="853"/>
      <c r="B12" s="597"/>
      <c r="C12" s="808" t="s">
        <v>475</v>
      </c>
      <c r="D12" s="620">
        <f t="shared" si="0"/>
        <v>70708</v>
      </c>
      <c r="E12" s="620">
        <f>'表２３'!D20</f>
        <v>0</v>
      </c>
      <c r="F12" s="806">
        <f t="shared" si="1"/>
        <v>0</v>
      </c>
      <c r="G12" s="620">
        <f>'表２３'!D11</f>
        <v>70708</v>
      </c>
      <c r="H12" s="807">
        <f>ROUND(G12/D12*100,1)</f>
        <v>100</v>
      </c>
      <c r="I12" s="541"/>
    </row>
    <row r="13" spans="1:9" ht="13.5">
      <c r="A13" s="853"/>
      <c r="B13" s="597"/>
      <c r="C13" s="828" t="s">
        <v>476</v>
      </c>
      <c r="D13" s="831">
        <f t="shared" si="0"/>
        <v>267285</v>
      </c>
      <c r="E13" s="620">
        <f>'表２３'!D21</f>
        <v>0</v>
      </c>
      <c r="F13" s="806">
        <f t="shared" si="1"/>
        <v>0</v>
      </c>
      <c r="G13" s="620">
        <f>'表２３'!D12</f>
        <v>267285</v>
      </c>
      <c r="H13" s="807">
        <f>ROUND(G13/D13*100,1)</f>
        <v>100</v>
      </c>
      <c r="I13" s="541"/>
    </row>
    <row r="14" spans="1:9" ht="13.5">
      <c r="A14" s="853"/>
      <c r="B14" s="597"/>
      <c r="C14" s="827" t="s">
        <v>487</v>
      </c>
      <c r="D14" s="830">
        <f t="shared" si="0"/>
        <v>1140448</v>
      </c>
      <c r="E14" s="620">
        <f>'表２３'!D22</f>
        <v>155275</v>
      </c>
      <c r="F14" s="806">
        <f t="shared" si="1"/>
        <v>13.6</v>
      </c>
      <c r="G14" s="620">
        <f>'表２３'!D13</f>
        <v>985173</v>
      </c>
      <c r="H14" s="807">
        <f>ROUND(G14/D14*100,1)</f>
        <v>86.4</v>
      </c>
      <c r="I14" s="541"/>
    </row>
    <row r="15" spans="1:9" ht="24">
      <c r="A15" s="853"/>
      <c r="B15" s="597"/>
      <c r="C15" s="832" t="s">
        <v>491</v>
      </c>
      <c r="D15" s="830">
        <f t="shared" si="0"/>
        <v>99980</v>
      </c>
      <c r="E15" s="620">
        <f>'表２３'!D23</f>
        <v>99980</v>
      </c>
      <c r="F15" s="806">
        <f t="shared" si="1"/>
        <v>100</v>
      </c>
      <c r="G15" s="810"/>
      <c r="H15" s="811"/>
      <c r="I15" s="541"/>
    </row>
    <row r="16" spans="1:9" ht="14.25" thickBot="1">
      <c r="A16" s="853"/>
      <c r="B16" s="829"/>
      <c r="C16" s="812" t="s">
        <v>490</v>
      </c>
      <c r="D16" s="813">
        <f t="shared" si="0"/>
        <v>71723</v>
      </c>
      <c r="E16" s="813">
        <f>'表２３'!D24</f>
        <v>71723</v>
      </c>
      <c r="F16" s="814">
        <f t="shared" si="1"/>
        <v>100</v>
      </c>
      <c r="G16" s="815"/>
      <c r="H16" s="816"/>
      <c r="I16" s="541"/>
    </row>
    <row r="17" spans="1:9" ht="14.25" thickTop="1">
      <c r="A17" s="541"/>
      <c r="B17" s="541"/>
      <c r="C17" s="541"/>
      <c r="D17" s="541"/>
      <c r="E17" s="541"/>
      <c r="F17" s="541"/>
      <c r="G17" s="541"/>
      <c r="H17" s="853"/>
      <c r="I17" s="541"/>
    </row>
    <row r="18" spans="1:9" ht="13.5">
      <c r="A18" s="541"/>
      <c r="B18" s="541"/>
      <c r="C18" s="541"/>
      <c r="D18" s="541"/>
      <c r="E18" s="541"/>
      <c r="F18" s="541"/>
      <c r="G18" s="541"/>
      <c r="H18" s="541"/>
      <c r="I18" s="541"/>
    </row>
  </sheetData>
  <sheetProtection/>
  <mergeCells count="6">
    <mergeCell ref="B3:C4"/>
    <mergeCell ref="D3:D4"/>
    <mergeCell ref="E3:F3"/>
    <mergeCell ref="G3:H3"/>
    <mergeCell ref="B5:C5"/>
    <mergeCell ref="B6:C6"/>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I15"/>
  <sheetViews>
    <sheetView zoomScalePageLayoutView="0" workbookViewId="0" topLeftCell="A1">
      <selection activeCell="C4" sqref="C4:D4"/>
    </sheetView>
  </sheetViews>
  <sheetFormatPr defaultColWidth="9.00390625" defaultRowHeight="13.5"/>
  <cols>
    <col min="1" max="1" width="2.625" style="7" customWidth="1"/>
    <col min="2" max="2" width="2.125" style="7" customWidth="1"/>
    <col min="3" max="3" width="2.625" style="7" customWidth="1"/>
    <col min="4" max="4" width="14.125" style="7" customWidth="1"/>
    <col min="5" max="5" width="13.625" style="7" customWidth="1"/>
    <col min="6" max="9" width="13.375" style="7" customWidth="1"/>
    <col min="10" max="16384" width="9.00390625" style="7" customWidth="1"/>
  </cols>
  <sheetData>
    <row r="1" spans="1:9" ht="21" customHeight="1" thickBot="1">
      <c r="A1" s="919" t="s">
        <v>55</v>
      </c>
      <c r="B1" s="919"/>
      <c r="C1" s="919"/>
      <c r="D1" s="919"/>
      <c r="E1" s="919"/>
      <c r="F1" s="977"/>
      <c r="I1" s="7" t="s">
        <v>333</v>
      </c>
    </row>
    <row r="2" spans="1:9" ht="27.75" customHeight="1" thickBot="1">
      <c r="A2" s="951" t="s">
        <v>44</v>
      </c>
      <c r="B2" s="952"/>
      <c r="C2" s="952"/>
      <c r="D2" s="953"/>
      <c r="E2" s="178" t="s">
        <v>325</v>
      </c>
      <c r="F2" s="14" t="s">
        <v>327</v>
      </c>
      <c r="G2" s="154" t="s">
        <v>331</v>
      </c>
      <c r="H2" s="14" t="s">
        <v>330</v>
      </c>
      <c r="I2" s="139" t="s">
        <v>555</v>
      </c>
    </row>
    <row r="3" spans="1:9" ht="27.75" customHeight="1" thickTop="1">
      <c r="A3" s="954" t="s">
        <v>56</v>
      </c>
      <c r="B3" s="979" t="s">
        <v>29</v>
      </c>
      <c r="C3" s="979"/>
      <c r="D3" s="979"/>
      <c r="E3" s="15">
        <v>1178489</v>
      </c>
      <c r="F3" s="161">
        <v>1161958</v>
      </c>
      <c r="G3" s="169">
        <v>1193511</v>
      </c>
      <c r="H3" s="15">
        <v>1196132</v>
      </c>
      <c r="I3" s="253">
        <f>'表５'!F30</f>
        <v>1218913</v>
      </c>
    </row>
    <row r="4" spans="1:9" ht="27.75" customHeight="1">
      <c r="A4" s="955"/>
      <c r="B4" s="960"/>
      <c r="C4" s="967" t="s">
        <v>30</v>
      </c>
      <c r="D4" s="967"/>
      <c r="E4" s="16">
        <v>1006318</v>
      </c>
      <c r="F4" s="36">
        <v>936639</v>
      </c>
      <c r="G4" s="16">
        <v>1061317</v>
      </c>
      <c r="H4" s="16">
        <v>1209932</v>
      </c>
      <c r="I4" s="254">
        <f>'表５'!G30</f>
        <v>1333704</v>
      </c>
    </row>
    <row r="5" spans="1:9" ht="27.75" customHeight="1">
      <c r="A5" s="955"/>
      <c r="B5" s="961"/>
      <c r="C5" s="967" t="s">
        <v>31</v>
      </c>
      <c r="D5" s="967"/>
      <c r="E5" s="16">
        <v>951070</v>
      </c>
      <c r="F5" s="36">
        <v>984467</v>
      </c>
      <c r="G5" s="16">
        <v>1030723</v>
      </c>
      <c r="H5" s="16">
        <v>1027183</v>
      </c>
      <c r="I5" s="254">
        <f>'表５'!H30</f>
        <v>1027837</v>
      </c>
    </row>
    <row r="6" spans="1:9" ht="27.75" customHeight="1">
      <c r="A6" s="955"/>
      <c r="B6" s="961"/>
      <c r="C6" s="967" t="s">
        <v>32</v>
      </c>
      <c r="D6" s="967"/>
      <c r="E6" s="16">
        <v>1263294</v>
      </c>
      <c r="F6" s="36">
        <v>1297236</v>
      </c>
      <c r="G6" s="16">
        <v>1305640</v>
      </c>
      <c r="H6" s="16">
        <v>1221929</v>
      </c>
      <c r="I6" s="254">
        <f>'表５'!I30</f>
        <v>1174977</v>
      </c>
    </row>
    <row r="7" spans="1:9" ht="27.75" customHeight="1">
      <c r="A7" s="955"/>
      <c r="B7" s="961"/>
      <c r="C7" s="976" t="s">
        <v>243</v>
      </c>
      <c r="D7" s="976"/>
      <c r="E7" s="16">
        <v>6299100</v>
      </c>
      <c r="F7" s="36">
        <v>6565351</v>
      </c>
      <c r="G7" s="16">
        <v>6353516</v>
      </c>
      <c r="H7" s="16">
        <v>6551568</v>
      </c>
      <c r="I7" s="254">
        <f>'表５'!J30</f>
        <v>6668076</v>
      </c>
    </row>
    <row r="8" spans="1:9" ht="27.75" customHeight="1">
      <c r="A8" s="955"/>
      <c r="B8" s="961"/>
      <c r="C8" s="948" t="s">
        <v>33</v>
      </c>
      <c r="D8" s="19" t="s">
        <v>34</v>
      </c>
      <c r="E8" s="16">
        <v>1439550</v>
      </c>
      <c r="F8" s="36">
        <v>1189512</v>
      </c>
      <c r="G8" s="16">
        <v>1224008</v>
      </c>
      <c r="H8" s="16">
        <v>1330275</v>
      </c>
      <c r="I8" s="254">
        <f>'表５'!K30</f>
        <v>1482944</v>
      </c>
    </row>
    <row r="9" spans="1:9" ht="27.75" customHeight="1">
      <c r="A9" s="955"/>
      <c r="B9" s="961"/>
      <c r="C9" s="948"/>
      <c r="D9" s="19" t="s">
        <v>35</v>
      </c>
      <c r="E9" s="16">
        <v>2479249</v>
      </c>
      <c r="F9" s="36">
        <v>2473524</v>
      </c>
      <c r="G9" s="16">
        <v>2498104</v>
      </c>
      <c r="H9" s="16">
        <v>2668271</v>
      </c>
      <c r="I9" s="254">
        <f>'表５'!L30</f>
        <v>3195153</v>
      </c>
    </row>
    <row r="10" spans="1:9" ht="27.75" customHeight="1">
      <c r="A10" s="955"/>
      <c r="B10" s="961"/>
      <c r="C10" s="948"/>
      <c r="D10" s="19" t="s">
        <v>36</v>
      </c>
      <c r="E10" s="16">
        <v>361990</v>
      </c>
      <c r="F10" s="36">
        <v>414407</v>
      </c>
      <c r="G10" s="16">
        <v>428306</v>
      </c>
      <c r="H10" s="16">
        <v>424504</v>
      </c>
      <c r="I10" s="254">
        <f>'表５'!M30</f>
        <v>372181</v>
      </c>
    </row>
    <row r="11" spans="1:9" ht="27.75" customHeight="1">
      <c r="A11" s="955"/>
      <c r="B11" s="961"/>
      <c r="C11" s="931" t="s">
        <v>38</v>
      </c>
      <c r="D11" s="980"/>
      <c r="E11" s="16">
        <v>818650</v>
      </c>
      <c r="F11" s="36">
        <v>848534</v>
      </c>
      <c r="G11" s="16">
        <v>830070</v>
      </c>
      <c r="H11" s="16">
        <v>909325</v>
      </c>
      <c r="I11" s="254">
        <f>'表５'!N30</f>
        <v>969793</v>
      </c>
    </row>
    <row r="12" spans="1:9" ht="27.75" customHeight="1">
      <c r="A12" s="955"/>
      <c r="B12" s="961"/>
      <c r="C12" s="967" t="s">
        <v>39</v>
      </c>
      <c r="D12" s="967"/>
      <c r="E12" s="16">
        <v>1711100</v>
      </c>
      <c r="F12" s="36">
        <v>2096598</v>
      </c>
      <c r="G12" s="16">
        <v>2491410</v>
      </c>
      <c r="H12" s="16">
        <v>2740011</v>
      </c>
      <c r="I12" s="254">
        <f>'表５'!O30</f>
        <v>2438253</v>
      </c>
    </row>
    <row r="13" spans="1:9" ht="27.75" customHeight="1">
      <c r="A13" s="955"/>
      <c r="B13" s="966"/>
      <c r="C13" s="975" t="s">
        <v>323</v>
      </c>
      <c r="D13" s="976"/>
      <c r="E13" s="143">
        <v>1094144</v>
      </c>
      <c r="F13" s="157">
        <v>1120478</v>
      </c>
      <c r="G13" s="143">
        <v>1059323</v>
      </c>
      <c r="H13" s="143">
        <v>932525</v>
      </c>
      <c r="I13" s="254">
        <f>'表５'!P30</f>
        <v>1208045</v>
      </c>
    </row>
    <row r="14" spans="1:9" ht="27.75" customHeight="1">
      <c r="A14" s="955"/>
      <c r="B14" s="973" t="s">
        <v>40</v>
      </c>
      <c r="C14" s="973"/>
      <c r="D14" s="973"/>
      <c r="E14" s="20">
        <v>16305</v>
      </c>
      <c r="F14" s="162">
        <v>15935</v>
      </c>
      <c r="G14" s="20">
        <v>15910</v>
      </c>
      <c r="H14" s="20">
        <v>13073</v>
      </c>
      <c r="I14" s="170">
        <f>'表５'!Q30</f>
        <v>12976</v>
      </c>
    </row>
    <row r="15" spans="1:9" ht="27.75" customHeight="1" thickBot="1">
      <c r="A15" s="978"/>
      <c r="B15" s="974" t="s">
        <v>41</v>
      </c>
      <c r="C15" s="974"/>
      <c r="D15" s="974"/>
      <c r="E15" s="21">
        <v>8232</v>
      </c>
      <c r="F15" s="163">
        <v>8493</v>
      </c>
      <c r="G15" s="21">
        <v>8955</v>
      </c>
      <c r="H15" s="21">
        <v>8823</v>
      </c>
      <c r="I15" s="171">
        <f>'表５'!R30</f>
        <v>9064</v>
      </c>
    </row>
  </sheetData>
  <sheetProtection/>
  <mergeCells count="15">
    <mergeCell ref="C5:D5"/>
    <mergeCell ref="C6:D6"/>
    <mergeCell ref="C7:D7"/>
    <mergeCell ref="C8:C10"/>
    <mergeCell ref="C11:D11"/>
    <mergeCell ref="C12:D12"/>
    <mergeCell ref="B14:D14"/>
    <mergeCell ref="B15:D15"/>
    <mergeCell ref="C13:D13"/>
    <mergeCell ref="B4:B13"/>
    <mergeCell ref="A1:F1"/>
    <mergeCell ref="A2:D2"/>
    <mergeCell ref="A3:A15"/>
    <mergeCell ref="B3:D3"/>
    <mergeCell ref="C4:D4"/>
  </mergeCells>
  <printOptions/>
  <pageMargins left="0.7874015748031497" right="0.7480314960629921" top="0.984251968503937" bottom="0.984251968503937" header="0.5118110236220472" footer="0.5118110236220472"/>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R32"/>
  <sheetViews>
    <sheetView zoomScale="80" zoomScaleNormal="80" zoomScalePageLayoutView="0" workbookViewId="0" topLeftCell="A1">
      <selection activeCell="L21" sqref="L21"/>
    </sheetView>
  </sheetViews>
  <sheetFormatPr defaultColWidth="9.00390625" defaultRowHeight="13.5"/>
  <cols>
    <col min="1" max="3" width="2.125" style="7" customWidth="1"/>
    <col min="4" max="4" width="17.625" style="7" customWidth="1"/>
    <col min="5" max="6" width="14.875" style="7" customWidth="1"/>
    <col min="7" max="7" width="12.875" style="7" customWidth="1"/>
    <col min="8" max="9" width="13.875" style="7" customWidth="1"/>
    <col min="10" max="10" width="12.875" style="7" customWidth="1"/>
    <col min="11" max="11" width="11.875" style="7" customWidth="1"/>
    <col min="12" max="12" width="12.875" style="7" customWidth="1"/>
    <col min="13" max="14" width="10.75390625" style="7" customWidth="1"/>
    <col min="15" max="16" width="11.625" style="7" bestFit="1" customWidth="1"/>
    <col min="17" max="18" width="13.875" style="7" bestFit="1" customWidth="1"/>
    <col min="19" max="16384" width="9.00390625" style="7" customWidth="1"/>
  </cols>
  <sheetData>
    <row r="1" spans="1:18" ht="21" customHeight="1" thickBot="1">
      <c r="A1" s="1026" t="s">
        <v>57</v>
      </c>
      <c r="B1" s="1026"/>
      <c r="C1" s="1026"/>
      <c r="D1" s="1026"/>
      <c r="E1" s="1026"/>
      <c r="F1" s="1026"/>
      <c r="R1" s="22" t="s">
        <v>58</v>
      </c>
    </row>
    <row r="2" spans="1:18" ht="15" customHeight="1">
      <c r="A2" s="1027" t="s">
        <v>44</v>
      </c>
      <c r="B2" s="1028"/>
      <c r="C2" s="1028"/>
      <c r="D2" s="1029"/>
      <c r="E2" s="1036" t="s">
        <v>59</v>
      </c>
      <c r="F2" s="1039" t="s">
        <v>60</v>
      </c>
      <c r="G2" s="1039"/>
      <c r="H2" s="1039"/>
      <c r="I2" s="1039"/>
      <c r="J2" s="1039"/>
      <c r="K2" s="1039"/>
      <c r="L2" s="1039"/>
      <c r="M2" s="1039"/>
      <c r="N2" s="1039"/>
      <c r="O2" s="1039"/>
      <c r="P2" s="408"/>
      <c r="Q2" s="1006" t="s">
        <v>61</v>
      </c>
      <c r="R2" s="1009" t="s">
        <v>62</v>
      </c>
    </row>
    <row r="3" spans="1:18" ht="15" customHeight="1">
      <c r="A3" s="1030"/>
      <c r="B3" s="1031"/>
      <c r="C3" s="1031"/>
      <c r="D3" s="1032"/>
      <c r="E3" s="1037"/>
      <c r="F3" s="1012" t="s">
        <v>63</v>
      </c>
      <c r="G3" s="1014" t="s">
        <v>30</v>
      </c>
      <c r="H3" s="1016" t="s">
        <v>31</v>
      </c>
      <c r="I3" s="1016" t="s">
        <v>32</v>
      </c>
      <c r="J3" s="1018" t="s">
        <v>241</v>
      </c>
      <c r="K3" s="1018" t="s">
        <v>64</v>
      </c>
      <c r="L3" s="1018" t="s">
        <v>65</v>
      </c>
      <c r="M3" s="1018" t="s">
        <v>66</v>
      </c>
      <c r="N3" s="1040" t="s">
        <v>67</v>
      </c>
      <c r="O3" s="1042" t="s">
        <v>39</v>
      </c>
      <c r="P3" s="981" t="s">
        <v>323</v>
      </c>
      <c r="Q3" s="1007"/>
      <c r="R3" s="1010"/>
    </row>
    <row r="4" spans="1:18" ht="15" customHeight="1" thickBot="1">
      <c r="A4" s="1033"/>
      <c r="B4" s="1034"/>
      <c r="C4" s="1034"/>
      <c r="D4" s="1035"/>
      <c r="E4" s="1038"/>
      <c r="F4" s="1013"/>
      <c r="G4" s="1015"/>
      <c r="H4" s="1017"/>
      <c r="I4" s="1017"/>
      <c r="J4" s="1019"/>
      <c r="K4" s="1019"/>
      <c r="L4" s="1019"/>
      <c r="M4" s="1019"/>
      <c r="N4" s="1041"/>
      <c r="O4" s="1043"/>
      <c r="P4" s="982"/>
      <c r="Q4" s="1008"/>
      <c r="R4" s="1011"/>
    </row>
    <row r="5" spans="1:18" ht="19.5" customHeight="1" thickBot="1">
      <c r="A5" s="1020" t="s">
        <v>68</v>
      </c>
      <c r="B5" s="1021"/>
      <c r="C5" s="1021"/>
      <c r="D5" s="1022"/>
      <c r="E5" s="26">
        <f>F5+Q5+R5</f>
        <v>185172618</v>
      </c>
      <c r="F5" s="207">
        <f>F7+F11+F12</f>
        <v>155605191</v>
      </c>
      <c r="G5" s="24">
        <f>G7+G11+G12</f>
        <v>1493749</v>
      </c>
      <c r="H5" s="24">
        <f>H7+H11+H12</f>
        <v>67762179</v>
      </c>
      <c r="I5" s="24">
        <f aca="true" t="shared" si="0" ref="I5:R5">I7+I11+I12</f>
        <v>37540518</v>
      </c>
      <c r="J5" s="24">
        <f t="shared" si="0"/>
        <v>10008782</v>
      </c>
      <c r="K5" s="24">
        <f t="shared" si="0"/>
        <v>33668766</v>
      </c>
      <c r="L5" s="24">
        <f t="shared" si="0"/>
        <v>942570</v>
      </c>
      <c r="M5" s="24">
        <f t="shared" si="0"/>
        <v>168970</v>
      </c>
      <c r="N5" s="24">
        <f t="shared" si="0"/>
        <v>2307137</v>
      </c>
      <c r="O5" s="409">
        <f t="shared" si="0"/>
        <v>212128</v>
      </c>
      <c r="P5" s="25">
        <f>P7+P11+P12</f>
        <v>1500392</v>
      </c>
      <c r="Q5" s="26">
        <f>Q7+Q11+Q12+Q13</f>
        <v>17407800</v>
      </c>
      <c r="R5" s="26">
        <f t="shared" si="0"/>
        <v>12159627</v>
      </c>
    </row>
    <row r="6" spans="1:18" ht="19.5" customHeight="1" thickTop="1">
      <c r="A6" s="1023" t="s">
        <v>69</v>
      </c>
      <c r="B6" s="1024"/>
      <c r="C6" s="1024"/>
      <c r="D6" s="1025"/>
      <c r="E6" s="27"/>
      <c r="F6" s="28"/>
      <c r="G6" s="29"/>
      <c r="H6" s="30"/>
      <c r="I6" s="30"/>
      <c r="J6" s="30"/>
      <c r="K6" s="30"/>
      <c r="L6" s="30"/>
      <c r="M6" s="30"/>
      <c r="N6" s="30"/>
      <c r="O6" s="31"/>
      <c r="P6" s="412"/>
      <c r="Q6" s="164"/>
      <c r="R6" s="164"/>
    </row>
    <row r="7" spans="1:18" ht="19.5" customHeight="1">
      <c r="A7" s="1001"/>
      <c r="B7" s="992" t="s">
        <v>70</v>
      </c>
      <c r="C7" s="993"/>
      <c r="D7" s="994"/>
      <c r="E7" s="23">
        <f aca="true" t="shared" si="1" ref="E7:E13">F7+Q7+R7</f>
        <v>178292523</v>
      </c>
      <c r="F7" s="208">
        <f aca="true" t="shared" si="2" ref="F7:F12">SUM(G7:P7)</f>
        <v>149878228</v>
      </c>
      <c r="G7" s="32">
        <f>SUM(G8:G10)</f>
        <v>1493749</v>
      </c>
      <c r="H7" s="32">
        <f>SUM(H8:H10)</f>
        <v>64344287</v>
      </c>
      <c r="I7" s="32">
        <f>SUM(I8:I10)</f>
        <v>36141447</v>
      </c>
      <c r="J7" s="32">
        <f aca="true" t="shared" si="3" ref="J7:R7">SUM(J8:J10)</f>
        <v>9959782</v>
      </c>
      <c r="K7" s="32">
        <f t="shared" si="3"/>
        <v>32807766</v>
      </c>
      <c r="L7" s="32">
        <f t="shared" si="3"/>
        <v>942570</v>
      </c>
      <c r="M7" s="32">
        <f t="shared" si="3"/>
        <v>168970</v>
      </c>
      <c r="N7" s="32">
        <f>SUM(N8:N10)</f>
        <v>2307137</v>
      </c>
      <c r="O7" s="36">
        <f t="shared" si="3"/>
        <v>212128</v>
      </c>
      <c r="P7" s="18">
        <f>SUM(P8:P10)</f>
        <v>1500392</v>
      </c>
      <c r="Q7" s="23">
        <f t="shared" si="3"/>
        <v>16402813</v>
      </c>
      <c r="R7" s="23">
        <f t="shared" si="3"/>
        <v>12011482</v>
      </c>
    </row>
    <row r="8" spans="1:18" ht="19.5" customHeight="1">
      <c r="A8" s="1002"/>
      <c r="B8" s="941"/>
      <c r="C8" s="992" t="s">
        <v>71</v>
      </c>
      <c r="D8" s="994"/>
      <c r="E8" s="23">
        <f>F8+Q8+R8</f>
        <v>21478629</v>
      </c>
      <c r="F8" s="208">
        <f t="shared" si="2"/>
        <v>20848782</v>
      </c>
      <c r="G8" s="32">
        <f>'表２１－１'!$I11</f>
        <v>12374</v>
      </c>
      <c r="H8" s="16">
        <f>'表２１－１'!$I12</f>
        <v>12078932</v>
      </c>
      <c r="I8" s="16">
        <f>'表２１－１'!$I13</f>
        <v>6454256</v>
      </c>
      <c r="J8" s="16">
        <f>'表２１－１'!$I14</f>
        <v>1435388</v>
      </c>
      <c r="K8" s="16">
        <f>'表２１－１'!$I15</f>
        <v>679473</v>
      </c>
      <c r="L8" s="16">
        <f>'表２１－１'!$I16</f>
        <v>3983</v>
      </c>
      <c r="M8" s="16">
        <f>'表２１－１'!$I17</f>
        <v>1272</v>
      </c>
      <c r="N8" s="16">
        <f>'表２１－１'!$I18</f>
        <v>168792</v>
      </c>
      <c r="O8" s="17">
        <f>'表２１－１'!$I19</f>
        <v>11327</v>
      </c>
      <c r="P8" s="18">
        <f>'表２１－１'!$I22</f>
        <v>2985</v>
      </c>
      <c r="Q8" s="23">
        <f>'表２１－１'!I25</f>
        <v>514657</v>
      </c>
      <c r="R8" s="23">
        <f>'表２１－１'!I37</f>
        <v>115190</v>
      </c>
    </row>
    <row r="9" spans="1:18" ht="19.5" customHeight="1">
      <c r="A9" s="1002"/>
      <c r="B9" s="942"/>
      <c r="C9" s="992" t="s">
        <v>258</v>
      </c>
      <c r="D9" s="994"/>
      <c r="E9" s="23">
        <f t="shared" si="1"/>
        <v>103449122</v>
      </c>
      <c r="F9" s="208">
        <f t="shared" si="2"/>
        <v>96735664</v>
      </c>
      <c r="G9" s="32">
        <f>'表２１－１'!$M11</f>
        <v>2442</v>
      </c>
      <c r="H9" s="16">
        <f>'表２１－１'!$M12</f>
        <v>32831151</v>
      </c>
      <c r="I9" s="16">
        <f>'表２１－１'!$M13</f>
        <v>19802044</v>
      </c>
      <c r="J9" s="16">
        <f>'表２１－１'!$M14</f>
        <v>8524394</v>
      </c>
      <c r="K9" s="16">
        <f>'表２１－１'!$M15</f>
        <v>32128293</v>
      </c>
      <c r="L9" s="16">
        <f>'表２１－１'!$M16</f>
        <v>938587</v>
      </c>
      <c r="M9" s="16">
        <f>'表２１－１'!$M17</f>
        <v>167698</v>
      </c>
      <c r="N9" s="16">
        <f>'表２１－１'!$M18</f>
        <v>2138345</v>
      </c>
      <c r="O9" s="17">
        <f>'表２１－１'!$M19</f>
        <v>200801</v>
      </c>
      <c r="P9" s="18">
        <f>'表２１－１'!$M22</f>
        <v>1909</v>
      </c>
      <c r="Q9" s="23">
        <f>'表２１－１'!M25</f>
        <v>1907254</v>
      </c>
      <c r="R9" s="23">
        <f>'表２１－１'!M37</f>
        <v>4806204</v>
      </c>
    </row>
    <row r="10" spans="1:18" ht="19.5" customHeight="1">
      <c r="A10" s="1002"/>
      <c r="B10" s="946"/>
      <c r="C10" s="992" t="s">
        <v>72</v>
      </c>
      <c r="D10" s="994"/>
      <c r="E10" s="23">
        <f t="shared" si="1"/>
        <v>53364772</v>
      </c>
      <c r="F10" s="208">
        <f t="shared" si="2"/>
        <v>32293782</v>
      </c>
      <c r="G10" s="32">
        <f>'表２１－１'!$Q11</f>
        <v>1478933</v>
      </c>
      <c r="H10" s="16">
        <f>'表２１－１'!$Q12</f>
        <v>19434204</v>
      </c>
      <c r="I10" s="16">
        <f>'表２１－１'!$Q13</f>
        <v>9885147</v>
      </c>
      <c r="J10" s="16">
        <f>'表２１－１'!$Q14</f>
        <v>0</v>
      </c>
      <c r="K10" s="16">
        <f>'表２１－１'!$Q15</f>
        <v>0</v>
      </c>
      <c r="L10" s="16">
        <f>'表２１－１'!$Q16</f>
        <v>0</v>
      </c>
      <c r="M10" s="16">
        <f>'表２１－１'!$Q17</f>
        <v>0</v>
      </c>
      <c r="N10" s="16">
        <f>'表２１－１'!$Q18</f>
        <v>0</v>
      </c>
      <c r="O10" s="17">
        <f>'表２１－１'!$Q19</f>
        <v>0</v>
      </c>
      <c r="P10" s="18">
        <f>'表２１－１'!$Q22</f>
        <v>1495498</v>
      </c>
      <c r="Q10" s="23">
        <f>'表２１－１'!Q25</f>
        <v>13980902</v>
      </c>
      <c r="R10" s="23">
        <f>'表２１－１'!Q37</f>
        <v>7090088</v>
      </c>
    </row>
    <row r="11" spans="1:18" ht="19.5" customHeight="1">
      <c r="A11" s="1002"/>
      <c r="B11" s="992" t="s">
        <v>73</v>
      </c>
      <c r="C11" s="993"/>
      <c r="D11" s="994"/>
      <c r="E11" s="23">
        <f t="shared" si="1"/>
        <v>6845300</v>
      </c>
      <c r="F11" s="208">
        <f t="shared" si="2"/>
        <v>5722400</v>
      </c>
      <c r="G11" s="32">
        <f>'表２１－１'!$U11</f>
        <v>0</v>
      </c>
      <c r="H11" s="16">
        <f>'表２１－１'!$U12</f>
        <v>3417392</v>
      </c>
      <c r="I11" s="16">
        <f>'表２１－１'!$U13</f>
        <v>1395008</v>
      </c>
      <c r="J11" s="16">
        <f>'表２１－１'!$U14</f>
        <v>49000</v>
      </c>
      <c r="K11" s="16">
        <f>'表２１－１'!$U15</f>
        <v>861000</v>
      </c>
      <c r="L11" s="16">
        <f>'表２１－１'!$U16</f>
        <v>0</v>
      </c>
      <c r="M11" s="16">
        <f>'表２１－１'!$U17</f>
        <v>0</v>
      </c>
      <c r="N11" s="16">
        <f>'表２１－１'!$U18</f>
        <v>0</v>
      </c>
      <c r="O11" s="17">
        <f>'表２１－１'!$U19</f>
        <v>0</v>
      </c>
      <c r="P11" s="18">
        <f>'表２１－１'!$U22</f>
        <v>0</v>
      </c>
      <c r="Q11" s="23">
        <f>'表２１－１'!U25</f>
        <v>991100</v>
      </c>
      <c r="R11" s="23">
        <f>'表２１－１'!U37</f>
        <v>131800</v>
      </c>
    </row>
    <row r="12" spans="1:18" ht="19.5" customHeight="1">
      <c r="A12" s="1002"/>
      <c r="B12" s="971" t="s">
        <v>259</v>
      </c>
      <c r="C12" s="1004"/>
      <c r="D12" s="1005"/>
      <c r="E12" s="172">
        <f t="shared" si="1"/>
        <v>22390</v>
      </c>
      <c r="F12" s="209">
        <f t="shared" si="2"/>
        <v>4563</v>
      </c>
      <c r="G12" s="32">
        <f>'表２１－１'!$Y11</f>
        <v>0</v>
      </c>
      <c r="H12" s="16">
        <f>'表２１－１'!$Y12</f>
        <v>500</v>
      </c>
      <c r="I12" s="16">
        <f>'表２１－１'!$Y13</f>
        <v>4063</v>
      </c>
      <c r="J12" s="16">
        <f>'表２１－１'!$Y14</f>
        <v>0</v>
      </c>
      <c r="K12" s="16">
        <f>'表２１－１'!$Y15</f>
        <v>0</v>
      </c>
      <c r="L12" s="16">
        <f>'表２１－１'!$Y16</f>
        <v>0</v>
      </c>
      <c r="M12" s="16">
        <f>'表２１－１'!$Y17</f>
        <v>0</v>
      </c>
      <c r="N12" s="16">
        <f>'表２１－１'!$Y18</f>
        <v>0</v>
      </c>
      <c r="O12" s="17">
        <f>'表２１－１'!$Y19</f>
        <v>0</v>
      </c>
      <c r="P12" s="18">
        <f>'表２１－１'!$Y22</f>
        <v>0</v>
      </c>
      <c r="Q12" s="172">
        <f>'表２１－１'!Y25</f>
        <v>1482</v>
      </c>
      <c r="R12" s="172">
        <f>'表２１－１'!Y37</f>
        <v>16345</v>
      </c>
    </row>
    <row r="13" spans="1:18" ht="19.5" customHeight="1" thickBot="1">
      <c r="A13" s="1002"/>
      <c r="B13" s="971" t="s">
        <v>260</v>
      </c>
      <c r="C13" s="1004"/>
      <c r="D13" s="1005"/>
      <c r="E13" s="172">
        <f t="shared" si="1"/>
        <v>12405</v>
      </c>
      <c r="F13" s="210"/>
      <c r="G13" s="137"/>
      <c r="H13" s="167"/>
      <c r="I13" s="167"/>
      <c r="J13" s="167"/>
      <c r="K13" s="167"/>
      <c r="L13" s="167"/>
      <c r="M13" s="167"/>
      <c r="N13" s="167"/>
      <c r="O13" s="211"/>
      <c r="P13" s="413"/>
      <c r="Q13" s="172">
        <f>'表２１－１'!E45</f>
        <v>12405</v>
      </c>
      <c r="R13" s="212"/>
    </row>
    <row r="14" spans="1:18" ht="19.5" customHeight="1" thickTop="1">
      <c r="A14" s="998" t="s">
        <v>74</v>
      </c>
      <c r="B14" s="999"/>
      <c r="C14" s="999"/>
      <c r="D14" s="1000"/>
      <c r="E14" s="164">
        <f>E15+E23+E28</f>
        <v>185172618</v>
      </c>
      <c r="F14" s="213">
        <f>F15+F23+F28</f>
        <v>155605191</v>
      </c>
      <c r="G14" s="214">
        <f>G15+G23+G28</f>
        <v>1493749</v>
      </c>
      <c r="H14" s="165">
        <f aca="true" t="shared" si="4" ref="H14:R14">H15+H23+H28</f>
        <v>67762179</v>
      </c>
      <c r="I14" s="165">
        <f t="shared" si="4"/>
        <v>37540518</v>
      </c>
      <c r="J14" s="165">
        <f t="shared" si="4"/>
        <v>10008782</v>
      </c>
      <c r="K14" s="165">
        <f t="shared" si="4"/>
        <v>33668766</v>
      </c>
      <c r="L14" s="165">
        <f t="shared" si="4"/>
        <v>942570</v>
      </c>
      <c r="M14" s="165">
        <f t="shared" si="4"/>
        <v>168970</v>
      </c>
      <c r="N14" s="165">
        <f t="shared" si="4"/>
        <v>2307137</v>
      </c>
      <c r="O14" s="410">
        <f t="shared" si="4"/>
        <v>212128</v>
      </c>
      <c r="P14" s="166">
        <f t="shared" si="4"/>
        <v>1500392</v>
      </c>
      <c r="Q14" s="166">
        <f t="shared" si="4"/>
        <v>17407800</v>
      </c>
      <c r="R14" s="166">
        <f t="shared" si="4"/>
        <v>12159627</v>
      </c>
    </row>
    <row r="15" spans="1:18" ht="19.5" customHeight="1">
      <c r="A15" s="1001"/>
      <c r="B15" s="992" t="s">
        <v>75</v>
      </c>
      <c r="C15" s="993"/>
      <c r="D15" s="994"/>
      <c r="E15" s="23">
        <f>F15+Q15+R15</f>
        <v>158580989</v>
      </c>
      <c r="F15" s="215">
        <f>SUM(G15:P15)</f>
        <v>133395586</v>
      </c>
      <c r="G15" s="216">
        <f>G16+G19+G20+G21+G22</f>
        <v>1397012</v>
      </c>
      <c r="H15" s="16">
        <f aca="true" t="shared" si="5" ref="H15:O15">H16+H19+H20+H21+H22</f>
        <v>56328211</v>
      </c>
      <c r="I15" s="16">
        <f t="shared" si="5"/>
        <v>32301258</v>
      </c>
      <c r="J15" s="16">
        <f t="shared" si="5"/>
        <v>9665628</v>
      </c>
      <c r="K15" s="16">
        <f t="shared" si="5"/>
        <v>28652819</v>
      </c>
      <c r="L15" s="16">
        <f t="shared" si="5"/>
        <v>942297</v>
      </c>
      <c r="M15" s="16">
        <f t="shared" si="5"/>
        <v>168970</v>
      </c>
      <c r="N15" s="16">
        <f t="shared" si="5"/>
        <v>2256575</v>
      </c>
      <c r="O15" s="17">
        <f t="shared" si="5"/>
        <v>208891</v>
      </c>
      <c r="P15" s="18">
        <f>P16+P19+P20+P21+P22</f>
        <v>1473925</v>
      </c>
      <c r="Q15" s="23">
        <f>'表２１－１'!I62</f>
        <v>13129150</v>
      </c>
      <c r="R15" s="23">
        <f>'表２１－１'!I74</f>
        <v>12056253</v>
      </c>
    </row>
    <row r="16" spans="1:18" ht="19.5" customHeight="1">
      <c r="A16" s="1002"/>
      <c r="B16" s="941"/>
      <c r="C16" s="992" t="s">
        <v>76</v>
      </c>
      <c r="D16" s="994"/>
      <c r="E16" s="23">
        <f>F16+Q16+R16</f>
        <v>115853667</v>
      </c>
      <c r="F16" s="215">
        <f aca="true" t="shared" si="6" ref="F16:F28">SUM(G16:P16)</f>
        <v>111721592</v>
      </c>
      <c r="G16" s="216">
        <f>SUM(G17:G18)</f>
        <v>1201761</v>
      </c>
      <c r="H16" s="16">
        <f aca="true" t="shared" si="7" ref="H16:O16">SUM(H17:H18)</f>
        <v>46894787</v>
      </c>
      <c r="I16" s="16">
        <f t="shared" si="7"/>
        <v>27166597</v>
      </c>
      <c r="J16" s="16">
        <f t="shared" si="7"/>
        <v>8968010</v>
      </c>
      <c r="K16" s="16">
        <f t="shared" si="7"/>
        <v>23049425</v>
      </c>
      <c r="L16" s="16">
        <f t="shared" si="7"/>
        <v>908175</v>
      </c>
      <c r="M16" s="16">
        <f t="shared" si="7"/>
        <v>157560</v>
      </c>
      <c r="N16" s="16">
        <f t="shared" si="7"/>
        <v>1843591</v>
      </c>
      <c r="O16" s="17">
        <f t="shared" si="7"/>
        <v>172044</v>
      </c>
      <c r="P16" s="18">
        <f>SUM(P17:P18)</f>
        <v>1359642</v>
      </c>
      <c r="Q16" s="893">
        <f>579434+3552641</f>
        <v>4132075</v>
      </c>
      <c r="R16" s="33"/>
    </row>
    <row r="17" spans="1:18" ht="19.5" customHeight="1">
      <c r="A17" s="1002"/>
      <c r="B17" s="942"/>
      <c r="C17" s="941"/>
      <c r="D17" s="138" t="s">
        <v>77</v>
      </c>
      <c r="E17" s="23">
        <f aca="true" t="shared" si="8" ref="E17:E28">F17+Q17+R17</f>
        <v>70631324</v>
      </c>
      <c r="F17" s="208">
        <f t="shared" si="6"/>
        <v>70631324</v>
      </c>
      <c r="G17" s="32">
        <f>'表８'!F8</f>
        <v>790268</v>
      </c>
      <c r="H17" s="16">
        <f>'表９'!F8</f>
        <v>30109466</v>
      </c>
      <c r="I17" s="16">
        <f>'表１０'!F8</f>
        <v>17166012</v>
      </c>
      <c r="J17" s="16">
        <f>'表１１'!F8</f>
        <v>5261214</v>
      </c>
      <c r="K17" s="16">
        <f>'表１２'!F8</f>
        <v>14473357</v>
      </c>
      <c r="L17" s="16">
        <f>'表１３'!F8</f>
        <v>608695</v>
      </c>
      <c r="M17" s="16">
        <f>'表１４'!F8</f>
        <v>107618</v>
      </c>
      <c r="N17" s="16">
        <f>'表１５'!F8</f>
        <v>1249377</v>
      </c>
      <c r="O17" s="17">
        <f>'表１６'!F8</f>
        <v>97533</v>
      </c>
      <c r="P17" s="18">
        <f>'表１７'!F8</f>
        <v>767784</v>
      </c>
      <c r="Q17" s="37"/>
      <c r="R17" s="33"/>
    </row>
    <row r="18" spans="1:18" ht="19.5" customHeight="1">
      <c r="A18" s="1002"/>
      <c r="B18" s="942"/>
      <c r="C18" s="946"/>
      <c r="D18" s="138" t="s">
        <v>78</v>
      </c>
      <c r="E18" s="23">
        <f t="shared" si="8"/>
        <v>41090268</v>
      </c>
      <c r="F18" s="208">
        <f t="shared" si="6"/>
        <v>41090268</v>
      </c>
      <c r="G18" s="32">
        <f>'表８'!F9</f>
        <v>411493</v>
      </c>
      <c r="H18" s="32">
        <f>'表９'!F9</f>
        <v>16785321</v>
      </c>
      <c r="I18" s="32">
        <f>'表１０'!F9</f>
        <v>10000585</v>
      </c>
      <c r="J18" s="32">
        <f>'表１１'!F9</f>
        <v>3706796</v>
      </c>
      <c r="K18" s="32">
        <f>'表１２'!F9</f>
        <v>8576068</v>
      </c>
      <c r="L18" s="32">
        <f>'表１３'!F9</f>
        <v>299480</v>
      </c>
      <c r="M18" s="32">
        <f>'表１４'!F9</f>
        <v>49942</v>
      </c>
      <c r="N18" s="32">
        <f>'表１５'!F9</f>
        <v>594214</v>
      </c>
      <c r="O18" s="17">
        <f>'表１６'!F9</f>
        <v>74511</v>
      </c>
      <c r="P18" s="18">
        <f>'表１７'!F9</f>
        <v>591858</v>
      </c>
      <c r="Q18" s="37"/>
      <c r="R18" s="33"/>
    </row>
    <row r="19" spans="1:18" ht="19.5" customHeight="1">
      <c r="A19" s="1002"/>
      <c r="B19" s="942"/>
      <c r="C19" s="992" t="s">
        <v>79</v>
      </c>
      <c r="D19" s="994"/>
      <c r="E19" s="23">
        <f t="shared" si="8"/>
        <v>3561235</v>
      </c>
      <c r="F19" s="208">
        <f t="shared" si="6"/>
        <v>3561235</v>
      </c>
      <c r="G19" s="32">
        <f>'表８'!F10</f>
        <v>24458</v>
      </c>
      <c r="H19" s="32">
        <f>'表９'!F10</f>
        <v>1590013</v>
      </c>
      <c r="I19" s="32">
        <f>'表１０'!F10</f>
        <v>1122060</v>
      </c>
      <c r="J19" s="32">
        <f>'表１１'!F10</f>
        <v>85861</v>
      </c>
      <c r="K19" s="32">
        <f>'表１２'!F10</f>
        <v>657148</v>
      </c>
      <c r="L19" s="32">
        <f>'表１３'!F10</f>
        <v>6815</v>
      </c>
      <c r="M19" s="32">
        <f>'表１４'!F10</f>
        <v>3498</v>
      </c>
      <c r="N19" s="32">
        <f>'表１５'!F10</f>
        <v>30262</v>
      </c>
      <c r="O19" s="17">
        <f>'表１６'!F10</f>
        <v>15755</v>
      </c>
      <c r="P19" s="18">
        <f>'表１７'!F10</f>
        <v>25365</v>
      </c>
      <c r="Q19" s="37"/>
      <c r="R19" s="33"/>
    </row>
    <row r="20" spans="1:18" ht="19.5" customHeight="1">
      <c r="A20" s="1002"/>
      <c r="B20" s="942"/>
      <c r="C20" s="992" t="s">
        <v>80</v>
      </c>
      <c r="D20" s="994"/>
      <c r="E20" s="23">
        <f t="shared" si="8"/>
        <v>8751557</v>
      </c>
      <c r="F20" s="208">
        <f t="shared" si="6"/>
        <v>8751557</v>
      </c>
      <c r="G20" s="32">
        <f>'表８'!F11</f>
        <v>107536</v>
      </c>
      <c r="H20" s="16">
        <f>'表９'!F11</f>
        <v>4029125</v>
      </c>
      <c r="I20" s="16">
        <f>'表１０'!F11</f>
        <v>2025358</v>
      </c>
      <c r="J20" s="16">
        <f>'表１１'!F11</f>
        <v>273000</v>
      </c>
      <c r="K20" s="16">
        <f>'表１２'!F11</f>
        <v>2006894</v>
      </c>
      <c r="L20" s="16">
        <f>'表１３'!F11</f>
        <v>5266</v>
      </c>
      <c r="M20" s="16">
        <f>'表１４'!F11</f>
        <v>495</v>
      </c>
      <c r="N20" s="16">
        <f>'表１５'!F11</f>
        <v>229104</v>
      </c>
      <c r="O20" s="17">
        <f>'表１６'!F11</f>
        <v>20700</v>
      </c>
      <c r="P20" s="18">
        <f>'表１７'!F11</f>
        <v>54079</v>
      </c>
      <c r="Q20" s="37"/>
      <c r="R20" s="33"/>
    </row>
    <row r="21" spans="1:18" ht="19.5" customHeight="1">
      <c r="A21" s="1002"/>
      <c r="B21" s="942"/>
      <c r="C21" s="992" t="s">
        <v>81</v>
      </c>
      <c r="D21" s="994"/>
      <c r="E21" s="23">
        <f t="shared" si="8"/>
        <v>8911915</v>
      </c>
      <c r="F21" s="208">
        <f t="shared" si="6"/>
        <v>8911915</v>
      </c>
      <c r="G21" s="32">
        <f>'表８'!F12</f>
        <v>52077</v>
      </c>
      <c r="H21" s="16">
        <f>'表９'!F12</f>
        <v>3613681</v>
      </c>
      <c r="I21" s="16">
        <f>'表１０'!F12</f>
        <v>1878858</v>
      </c>
      <c r="J21" s="16">
        <f>'表１１'!F12</f>
        <v>334521</v>
      </c>
      <c r="K21" s="16">
        <f>'表１２'!F12</f>
        <v>2821767</v>
      </c>
      <c r="L21" s="16">
        <f>'表１３'!F12</f>
        <v>21201</v>
      </c>
      <c r="M21" s="16">
        <f>'表１４'!F12</f>
        <v>7239</v>
      </c>
      <c r="N21" s="16">
        <f>'表１５'!F12</f>
        <v>149162</v>
      </c>
      <c r="O21" s="17">
        <f>'表１６'!F12</f>
        <v>0</v>
      </c>
      <c r="P21" s="18">
        <f>'表１７'!F12</f>
        <v>33409</v>
      </c>
      <c r="Q21" s="37"/>
      <c r="R21" s="33"/>
    </row>
    <row r="22" spans="1:18" ht="19.5" customHeight="1">
      <c r="A22" s="1002"/>
      <c r="B22" s="946"/>
      <c r="C22" s="992" t="s">
        <v>82</v>
      </c>
      <c r="D22" s="994"/>
      <c r="E22" s="23">
        <f t="shared" si="8"/>
        <v>449287</v>
      </c>
      <c r="F22" s="208">
        <f t="shared" si="6"/>
        <v>449287</v>
      </c>
      <c r="G22" s="32">
        <f>'表８'!F13</f>
        <v>11180</v>
      </c>
      <c r="H22" s="16">
        <f>'表９'!F13</f>
        <v>200605</v>
      </c>
      <c r="I22" s="16">
        <f>'表１０'!F13</f>
        <v>108385</v>
      </c>
      <c r="J22" s="16">
        <f>'表１１'!F13</f>
        <v>4236</v>
      </c>
      <c r="K22" s="16">
        <f>'表１２'!F13</f>
        <v>117585</v>
      </c>
      <c r="L22" s="16">
        <f>'表１３'!F13</f>
        <v>840</v>
      </c>
      <c r="M22" s="16">
        <f>'表１４'!F13</f>
        <v>178</v>
      </c>
      <c r="N22" s="16">
        <f>'表１５'!F13</f>
        <v>4456</v>
      </c>
      <c r="O22" s="17">
        <f>'表１６'!F13</f>
        <v>392</v>
      </c>
      <c r="P22" s="18">
        <f>'表１７'!F13</f>
        <v>1430</v>
      </c>
      <c r="Q22" s="37"/>
      <c r="R22" s="33"/>
    </row>
    <row r="23" spans="1:18" ht="19.5" customHeight="1">
      <c r="A23" s="1002"/>
      <c r="B23" s="992" t="s">
        <v>83</v>
      </c>
      <c r="C23" s="993"/>
      <c r="D23" s="994"/>
      <c r="E23" s="23">
        <f t="shared" si="8"/>
        <v>16908797</v>
      </c>
      <c r="F23" s="215">
        <f t="shared" si="6"/>
        <v>14187865</v>
      </c>
      <c r="G23" s="216">
        <f>SUM(G24:G27)</f>
        <v>23407</v>
      </c>
      <c r="H23" s="16">
        <f aca="true" t="shared" si="9" ref="H23:M23">SUM(H24:H27)</f>
        <v>7457243</v>
      </c>
      <c r="I23" s="16">
        <f>SUM(I24:I27)</f>
        <v>2939414</v>
      </c>
      <c r="J23" s="16">
        <f t="shared" si="9"/>
        <v>124044</v>
      </c>
      <c r="K23" s="16">
        <f t="shared" si="9"/>
        <v>3606642</v>
      </c>
      <c r="L23" s="16">
        <f t="shared" si="9"/>
        <v>273</v>
      </c>
      <c r="M23" s="16">
        <f t="shared" si="9"/>
        <v>0</v>
      </c>
      <c r="N23" s="16">
        <f>SUM(N24:N27)</f>
        <v>7997</v>
      </c>
      <c r="O23" s="17">
        <f>SUM(O24:O27)</f>
        <v>3237</v>
      </c>
      <c r="P23" s="18">
        <f>SUM(P24:P27)</f>
        <v>25608</v>
      </c>
      <c r="Q23" s="23">
        <f>'表２１－１'!M62</f>
        <v>2620242</v>
      </c>
      <c r="R23" s="23">
        <f>'表２１－１'!M74</f>
        <v>100690</v>
      </c>
    </row>
    <row r="24" spans="1:18" ht="19.5" customHeight="1">
      <c r="A24" s="1002"/>
      <c r="B24" s="941"/>
      <c r="C24" s="992" t="s">
        <v>84</v>
      </c>
      <c r="D24" s="994"/>
      <c r="E24" s="23">
        <f t="shared" si="8"/>
        <v>0</v>
      </c>
      <c r="F24" s="208">
        <f t="shared" si="6"/>
        <v>0</v>
      </c>
      <c r="G24" s="217">
        <v>0</v>
      </c>
      <c r="H24" s="43">
        <v>0</v>
      </c>
      <c r="I24" s="43">
        <v>0</v>
      </c>
      <c r="J24" s="43">
        <v>0</v>
      </c>
      <c r="K24" s="43">
        <v>0</v>
      </c>
      <c r="L24" s="43">
        <v>0</v>
      </c>
      <c r="M24" s="43">
        <v>0</v>
      </c>
      <c r="N24" s="43">
        <v>0</v>
      </c>
      <c r="O24" s="439">
        <v>0</v>
      </c>
      <c r="P24" s="122">
        <v>0</v>
      </c>
      <c r="Q24" s="37"/>
      <c r="R24" s="33"/>
    </row>
    <row r="25" spans="1:18" ht="19.5" customHeight="1">
      <c r="A25" s="1002"/>
      <c r="B25" s="942"/>
      <c r="C25" s="992" t="s">
        <v>85</v>
      </c>
      <c r="D25" s="994"/>
      <c r="E25" s="23">
        <f t="shared" si="8"/>
        <v>11567106</v>
      </c>
      <c r="F25" s="208">
        <f t="shared" si="6"/>
        <v>11567106</v>
      </c>
      <c r="G25" s="217">
        <v>15941</v>
      </c>
      <c r="H25" s="43">
        <v>6206322</v>
      </c>
      <c r="I25" s="43">
        <v>2302996</v>
      </c>
      <c r="J25" s="43">
        <v>96561</v>
      </c>
      <c r="K25" s="43">
        <v>2916884</v>
      </c>
      <c r="L25" s="43">
        <v>74</v>
      </c>
      <c r="M25" s="43">
        <v>0</v>
      </c>
      <c r="N25" s="43">
        <v>5690</v>
      </c>
      <c r="O25" s="439">
        <v>0</v>
      </c>
      <c r="P25" s="122">
        <v>22638</v>
      </c>
      <c r="Q25" s="37"/>
      <c r="R25" s="33"/>
    </row>
    <row r="26" spans="1:18" ht="19.5" customHeight="1">
      <c r="A26" s="1002"/>
      <c r="B26" s="942"/>
      <c r="C26" s="992" t="s">
        <v>86</v>
      </c>
      <c r="D26" s="994"/>
      <c r="E26" s="23">
        <f t="shared" si="8"/>
        <v>2535639</v>
      </c>
      <c r="F26" s="208">
        <f t="shared" si="6"/>
        <v>2535639</v>
      </c>
      <c r="G26" s="217">
        <v>6891</v>
      </c>
      <c r="H26" s="43">
        <v>1201835</v>
      </c>
      <c r="I26" s="43">
        <v>609714</v>
      </c>
      <c r="J26" s="43">
        <v>26992</v>
      </c>
      <c r="K26" s="43">
        <v>681826</v>
      </c>
      <c r="L26" s="43">
        <v>195</v>
      </c>
      <c r="M26" s="43">
        <v>0</v>
      </c>
      <c r="N26" s="43">
        <v>2037</v>
      </c>
      <c r="O26" s="439">
        <v>3237</v>
      </c>
      <c r="P26" s="122">
        <v>2912</v>
      </c>
      <c r="Q26" s="37"/>
      <c r="R26" s="33"/>
    </row>
    <row r="27" spans="1:18" ht="19.5" customHeight="1">
      <c r="A27" s="1002"/>
      <c r="B27" s="946"/>
      <c r="C27" s="992" t="s">
        <v>87</v>
      </c>
      <c r="D27" s="994"/>
      <c r="E27" s="23">
        <f t="shared" si="8"/>
        <v>85120</v>
      </c>
      <c r="F27" s="208">
        <f t="shared" si="6"/>
        <v>85120</v>
      </c>
      <c r="G27" s="217">
        <v>575</v>
      </c>
      <c r="H27" s="43">
        <v>49086</v>
      </c>
      <c r="I27" s="43">
        <v>26704</v>
      </c>
      <c r="J27" s="43">
        <v>491</v>
      </c>
      <c r="K27" s="43">
        <v>7932</v>
      </c>
      <c r="L27" s="43">
        <v>4</v>
      </c>
      <c r="M27" s="43">
        <v>0</v>
      </c>
      <c r="N27" s="43">
        <v>270</v>
      </c>
      <c r="O27" s="439">
        <v>0</v>
      </c>
      <c r="P27" s="122">
        <v>58</v>
      </c>
      <c r="Q27" s="37"/>
      <c r="R27" s="33"/>
    </row>
    <row r="28" spans="1:18" ht="19.5" customHeight="1">
      <c r="A28" s="1002"/>
      <c r="B28" s="983" t="s">
        <v>88</v>
      </c>
      <c r="C28" s="984"/>
      <c r="D28" s="985"/>
      <c r="E28" s="172">
        <f t="shared" si="8"/>
        <v>9682832</v>
      </c>
      <c r="F28" s="209">
        <f t="shared" si="6"/>
        <v>8021740</v>
      </c>
      <c r="G28" s="394">
        <f>'表８'!F15</f>
        <v>73330</v>
      </c>
      <c r="H28" s="395">
        <f>'表９'!F15</f>
        <v>3976725</v>
      </c>
      <c r="I28" s="395">
        <f>'表１０'!F15</f>
        <v>2299846</v>
      </c>
      <c r="J28" s="395">
        <f>'表１１'!F15</f>
        <v>219110</v>
      </c>
      <c r="K28" s="395">
        <f>'表１２'!F15</f>
        <v>1409305</v>
      </c>
      <c r="L28" s="395">
        <f>'表１３'!F15</f>
        <v>0</v>
      </c>
      <c r="M28" s="395">
        <f>'表１４'!F15</f>
        <v>0</v>
      </c>
      <c r="N28" s="395">
        <f>'表１５'!F15</f>
        <v>42565</v>
      </c>
      <c r="O28" s="395">
        <f>'表１６'!F15</f>
        <v>0</v>
      </c>
      <c r="P28" s="441">
        <f>'表１７'!F15</f>
        <v>859</v>
      </c>
      <c r="Q28" s="23">
        <f>'表２１－１'!Q62</f>
        <v>1658408</v>
      </c>
      <c r="R28" s="172">
        <f>'表２１－１'!Q74</f>
        <v>2684</v>
      </c>
    </row>
    <row r="29" spans="1:18" ht="19.5" customHeight="1" thickBot="1">
      <c r="A29" s="1003"/>
      <c r="B29" s="995" t="s">
        <v>301</v>
      </c>
      <c r="C29" s="996"/>
      <c r="D29" s="997"/>
      <c r="E29" s="396"/>
      <c r="F29" s="397"/>
      <c r="G29" s="391"/>
      <c r="H29" s="392"/>
      <c r="I29" s="392"/>
      <c r="J29" s="392"/>
      <c r="K29" s="392"/>
      <c r="L29" s="392"/>
      <c r="M29" s="392"/>
      <c r="N29" s="392"/>
      <c r="O29" s="411"/>
      <c r="P29" s="393"/>
      <c r="Q29" s="396"/>
      <c r="R29" s="34">
        <f>'表１８'!O16+'表１８'!O28</f>
        <v>52459</v>
      </c>
    </row>
    <row r="30" spans="1:18" ht="19.5" customHeight="1" thickBot="1" thickTop="1">
      <c r="A30" s="986" t="s">
        <v>89</v>
      </c>
      <c r="B30" s="987"/>
      <c r="C30" s="987"/>
      <c r="D30" s="988"/>
      <c r="E30" s="39"/>
      <c r="F30" s="894">
        <f>ROUND(F5*1000/F31,0)</f>
        <v>1218913</v>
      </c>
      <c r="G30" s="895">
        <f>ROUND(G5*1000/G31,0)</f>
        <v>1333704</v>
      </c>
      <c r="H30" s="895">
        <f aca="true" t="shared" si="10" ref="H30:R30">ROUND(H5*1000/H31,0)</f>
        <v>1027837</v>
      </c>
      <c r="I30" s="895">
        <f t="shared" si="10"/>
        <v>1174977</v>
      </c>
      <c r="J30" s="895">
        <f>ROUND(J5*1000/J31,0)</f>
        <v>6668076</v>
      </c>
      <c r="K30" s="895">
        <f t="shared" si="10"/>
        <v>1482944</v>
      </c>
      <c r="L30" s="895">
        <f t="shared" si="10"/>
        <v>3195153</v>
      </c>
      <c r="M30" s="895">
        <f t="shared" si="10"/>
        <v>372181</v>
      </c>
      <c r="N30" s="895">
        <f t="shared" si="10"/>
        <v>969793</v>
      </c>
      <c r="O30" s="896">
        <f t="shared" si="10"/>
        <v>2438253</v>
      </c>
      <c r="P30" s="897">
        <f>ROUND(P5*1000/P31,0)</f>
        <v>1208045</v>
      </c>
      <c r="Q30" s="898">
        <f>ROUND(Q5*1000/Q31,0)</f>
        <v>12976</v>
      </c>
      <c r="R30" s="218">
        <f t="shared" si="10"/>
        <v>9064</v>
      </c>
    </row>
    <row r="31" spans="1:18" ht="19.5" customHeight="1" thickBot="1" thickTop="1">
      <c r="A31" s="989" t="s">
        <v>90</v>
      </c>
      <c r="B31" s="990"/>
      <c r="C31" s="990"/>
      <c r="D31" s="991"/>
      <c r="E31" s="40"/>
      <c r="F31" s="899">
        <f>SUM(G31:P31)</f>
        <v>127659</v>
      </c>
      <c r="G31" s="900">
        <v>1120</v>
      </c>
      <c r="H31" s="236">
        <v>65927</v>
      </c>
      <c r="I31" s="236">
        <v>31950</v>
      </c>
      <c r="J31" s="236">
        <v>1501</v>
      </c>
      <c r="K31" s="236">
        <v>22704</v>
      </c>
      <c r="L31" s="236">
        <v>295</v>
      </c>
      <c r="M31" s="236">
        <v>454</v>
      </c>
      <c r="N31" s="236">
        <v>2379</v>
      </c>
      <c r="O31" s="901">
        <v>87</v>
      </c>
      <c r="P31" s="237">
        <v>1242</v>
      </c>
      <c r="Q31" s="414">
        <v>1341539</v>
      </c>
      <c r="R31" s="415">
        <v>1341539</v>
      </c>
    </row>
    <row r="32" ht="19.5" customHeight="1">
      <c r="A32" s="7" t="s">
        <v>561</v>
      </c>
    </row>
  </sheetData>
  <sheetProtection/>
  <mergeCells count="48">
    <mergeCell ref="A5:D5"/>
    <mergeCell ref="A6:D6"/>
    <mergeCell ref="A1:F1"/>
    <mergeCell ref="A2:D4"/>
    <mergeCell ref="E2:E4"/>
    <mergeCell ref="F2:O2"/>
    <mergeCell ref="N3:N4"/>
    <mergeCell ref="O3:O4"/>
    <mergeCell ref="Q2:Q4"/>
    <mergeCell ref="R2:R4"/>
    <mergeCell ref="F3:F4"/>
    <mergeCell ref="G3:G4"/>
    <mergeCell ref="H3:H4"/>
    <mergeCell ref="I3:I4"/>
    <mergeCell ref="J3:J4"/>
    <mergeCell ref="K3:K4"/>
    <mergeCell ref="L3:L4"/>
    <mergeCell ref="M3:M4"/>
    <mergeCell ref="A15:A29"/>
    <mergeCell ref="A7:A13"/>
    <mergeCell ref="B7:D7"/>
    <mergeCell ref="B8:B10"/>
    <mergeCell ref="C8:D8"/>
    <mergeCell ref="C9:D9"/>
    <mergeCell ref="C10:D10"/>
    <mergeCell ref="B11:D11"/>
    <mergeCell ref="B13:D13"/>
    <mergeCell ref="B12:D12"/>
    <mergeCell ref="B29:D29"/>
    <mergeCell ref="A14:D14"/>
    <mergeCell ref="B15:D15"/>
    <mergeCell ref="B16:B22"/>
    <mergeCell ref="C16:D16"/>
    <mergeCell ref="C17:C18"/>
    <mergeCell ref="C19:D19"/>
    <mergeCell ref="C20:D20"/>
    <mergeCell ref="C21:D21"/>
    <mergeCell ref="C22:D22"/>
    <mergeCell ref="P3:P4"/>
    <mergeCell ref="B28:D28"/>
    <mergeCell ref="A30:D30"/>
    <mergeCell ref="A31:D31"/>
    <mergeCell ref="B23:D23"/>
    <mergeCell ref="B24:B27"/>
    <mergeCell ref="C24:D24"/>
    <mergeCell ref="C25:D25"/>
    <mergeCell ref="C26:D26"/>
    <mergeCell ref="C27:D27"/>
  </mergeCells>
  <printOptions/>
  <pageMargins left="0.5511811023622047" right="0.6692913385826772" top="0.984251968503937" bottom="0.984251968503937" header="0.5118110236220472" footer="0.5118110236220472"/>
  <pageSetup fitToHeight="0" fitToWidth="1" horizontalDpi="300" verticalDpi="300" orientation="landscape" paperSize="8" scale="96" r:id="rId1"/>
</worksheet>
</file>

<file path=xl/worksheets/sheet6.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F14" sqref="F14"/>
    </sheetView>
  </sheetViews>
  <sheetFormatPr defaultColWidth="9.00390625" defaultRowHeight="13.5"/>
  <cols>
    <col min="1" max="2" width="2.125" style="7" customWidth="1"/>
    <col min="3" max="3" width="2.625" style="7" customWidth="1"/>
    <col min="4" max="4" width="16.75390625" style="7" customWidth="1"/>
    <col min="5" max="6" width="14.875" style="7" bestFit="1" customWidth="1"/>
    <col min="7" max="9" width="13.125" style="7" customWidth="1"/>
    <col min="10" max="10" width="11.875" style="7" customWidth="1"/>
    <col min="11" max="12" width="10.375" style="7" customWidth="1"/>
    <col min="13" max="16384" width="9.00390625" style="7" customWidth="1"/>
  </cols>
  <sheetData>
    <row r="1" spans="1:12" ht="21" customHeight="1" thickBot="1">
      <c r="A1" s="919" t="s">
        <v>91</v>
      </c>
      <c r="B1" s="919"/>
      <c r="C1" s="919"/>
      <c r="D1" s="919"/>
      <c r="E1" s="919"/>
      <c r="F1" s="919"/>
      <c r="J1" s="1061" t="s">
        <v>58</v>
      </c>
      <c r="K1" s="1061"/>
      <c r="L1" s="1061"/>
    </row>
    <row r="2" spans="1:12" ht="15.75" customHeight="1">
      <c r="A2" s="1071" t="s">
        <v>92</v>
      </c>
      <c r="B2" s="1072"/>
      <c r="C2" s="1072"/>
      <c r="D2" s="1073"/>
      <c r="E2" s="1055" t="s">
        <v>28</v>
      </c>
      <c r="F2" s="1050" t="s">
        <v>93</v>
      </c>
      <c r="G2" s="1051"/>
      <c r="H2" s="1051"/>
      <c r="I2" s="1052"/>
      <c r="J2" s="1055" t="s">
        <v>94</v>
      </c>
      <c r="K2" s="1068" t="s">
        <v>261</v>
      </c>
      <c r="L2" s="1062" t="s">
        <v>262</v>
      </c>
    </row>
    <row r="3" spans="1:12" ht="15.75" customHeight="1">
      <c r="A3" s="1074"/>
      <c r="B3" s="1075"/>
      <c r="C3" s="1075"/>
      <c r="D3" s="1076"/>
      <c r="E3" s="1056"/>
      <c r="F3" s="1065" t="s">
        <v>95</v>
      </c>
      <c r="G3" s="1065" t="s">
        <v>46</v>
      </c>
      <c r="H3" s="1066" t="s">
        <v>257</v>
      </c>
      <c r="I3" s="1065" t="s">
        <v>47</v>
      </c>
      <c r="J3" s="1056"/>
      <c r="K3" s="1069"/>
      <c r="L3" s="1063"/>
    </row>
    <row r="4" spans="1:12" ht="15.75" customHeight="1">
      <c r="A4" s="1077"/>
      <c r="B4" s="1078"/>
      <c r="C4" s="1078"/>
      <c r="D4" s="1079"/>
      <c r="E4" s="1057"/>
      <c r="F4" s="1057"/>
      <c r="G4" s="1057"/>
      <c r="H4" s="1067"/>
      <c r="I4" s="1057"/>
      <c r="J4" s="1057"/>
      <c r="K4" s="1070"/>
      <c r="L4" s="1064"/>
    </row>
    <row r="5" spans="1:12" ht="24.75" customHeight="1">
      <c r="A5" s="1045" t="s">
        <v>28</v>
      </c>
      <c r="B5" s="964"/>
      <c r="C5" s="964"/>
      <c r="D5" s="964"/>
      <c r="E5" s="219">
        <f>F5+J5+K5+L5</f>
        <v>185172618</v>
      </c>
      <c r="F5" s="219">
        <f>SUM(G5:I5)</f>
        <v>178292523</v>
      </c>
      <c r="G5" s="219">
        <f aca="true" t="shared" si="0" ref="G5:L5">G6+G18+G19</f>
        <v>21478629</v>
      </c>
      <c r="H5" s="219">
        <f t="shared" si="0"/>
        <v>103449122</v>
      </c>
      <c r="I5" s="219">
        <f t="shared" si="0"/>
        <v>53364772</v>
      </c>
      <c r="J5" s="219">
        <f t="shared" si="0"/>
        <v>6845300</v>
      </c>
      <c r="K5" s="220">
        <f t="shared" si="0"/>
        <v>22390</v>
      </c>
      <c r="L5" s="221">
        <f t="shared" si="0"/>
        <v>12405</v>
      </c>
    </row>
    <row r="6" spans="1:12" ht="24.75" customHeight="1">
      <c r="A6" s="1046"/>
      <c r="B6" s="973" t="s">
        <v>29</v>
      </c>
      <c r="C6" s="973"/>
      <c r="D6" s="973"/>
      <c r="E6" s="20">
        <f aca="true" t="shared" si="1" ref="E6:E13">F6+J6+K6+L6</f>
        <v>155605191</v>
      </c>
      <c r="F6" s="20">
        <f>SUM(G6:I6)</f>
        <v>149878228</v>
      </c>
      <c r="G6" s="20">
        <f aca="true" t="shared" si="2" ref="G6:L6">SUM(G7:G10,G14,G15,G16,G17)</f>
        <v>20848782</v>
      </c>
      <c r="H6" s="20">
        <f t="shared" si="2"/>
        <v>96735664</v>
      </c>
      <c r="I6" s="20">
        <f t="shared" si="2"/>
        <v>32293782</v>
      </c>
      <c r="J6" s="20">
        <f t="shared" si="2"/>
        <v>5722400</v>
      </c>
      <c r="K6" s="222">
        <f t="shared" si="2"/>
        <v>4563</v>
      </c>
      <c r="L6" s="223">
        <f t="shared" si="2"/>
        <v>0</v>
      </c>
    </row>
    <row r="7" spans="1:12" ht="24.75" customHeight="1">
      <c r="A7" s="1047"/>
      <c r="B7" s="960"/>
      <c r="C7" s="967" t="s">
        <v>96</v>
      </c>
      <c r="D7" s="967"/>
      <c r="E7" s="16">
        <f t="shared" si="1"/>
        <v>1493749</v>
      </c>
      <c r="F7" s="16">
        <f>SUM(G7:I7)</f>
        <v>1493749</v>
      </c>
      <c r="G7" s="32">
        <f>'表５'!G8</f>
        <v>12374</v>
      </c>
      <c r="H7" s="32">
        <f>'表５'!G9</f>
        <v>2442</v>
      </c>
      <c r="I7" s="32">
        <f>'表５'!G10</f>
        <v>1478933</v>
      </c>
      <c r="J7" s="32">
        <f>'表５'!G11</f>
        <v>0</v>
      </c>
      <c r="K7" s="32">
        <f>'表５'!G12</f>
        <v>0</v>
      </c>
      <c r="L7" s="370"/>
    </row>
    <row r="8" spans="1:12" ht="24.75" customHeight="1">
      <c r="A8" s="1047"/>
      <c r="B8" s="961"/>
      <c r="C8" s="967" t="s">
        <v>97</v>
      </c>
      <c r="D8" s="967"/>
      <c r="E8" s="16">
        <f t="shared" si="1"/>
        <v>67762179</v>
      </c>
      <c r="F8" s="16">
        <f aca="true" t="shared" si="3" ref="F8:F19">SUM(G8:I8)</f>
        <v>64344287</v>
      </c>
      <c r="G8" s="16">
        <f>'表５'!H8</f>
        <v>12078932</v>
      </c>
      <c r="H8" s="16">
        <f>'表５'!H9</f>
        <v>32831151</v>
      </c>
      <c r="I8" s="16">
        <f>'表５'!H10</f>
        <v>19434204</v>
      </c>
      <c r="J8" s="16">
        <f>'表５'!H11</f>
        <v>3417392</v>
      </c>
      <c r="K8" s="16">
        <f>'表５'!H12</f>
        <v>500</v>
      </c>
      <c r="L8" s="370"/>
    </row>
    <row r="9" spans="1:12" ht="24.75" customHeight="1">
      <c r="A9" s="1047"/>
      <c r="B9" s="961"/>
      <c r="C9" s="967" t="s">
        <v>98</v>
      </c>
      <c r="D9" s="967"/>
      <c r="E9" s="16">
        <f t="shared" si="1"/>
        <v>37540518</v>
      </c>
      <c r="F9" s="16">
        <f t="shared" si="3"/>
        <v>36141447</v>
      </c>
      <c r="G9" s="16">
        <f>'表５'!I8</f>
        <v>6454256</v>
      </c>
      <c r="H9" s="16">
        <f>'表５'!I9</f>
        <v>19802044</v>
      </c>
      <c r="I9" s="16">
        <f>'表５'!I10</f>
        <v>9885147</v>
      </c>
      <c r="J9" s="16">
        <f>'表５'!I11</f>
        <v>1395008</v>
      </c>
      <c r="K9" s="16">
        <f>'表５'!I12</f>
        <v>4063</v>
      </c>
      <c r="L9" s="370"/>
    </row>
    <row r="10" spans="1:12" ht="24.75" customHeight="1">
      <c r="A10" s="1047"/>
      <c r="B10" s="961"/>
      <c r="C10" s="1049" t="s">
        <v>242</v>
      </c>
      <c r="D10" s="1049"/>
      <c r="E10" s="16">
        <f t="shared" si="1"/>
        <v>10008782</v>
      </c>
      <c r="F10" s="16">
        <f t="shared" si="3"/>
        <v>9959782</v>
      </c>
      <c r="G10" s="16">
        <f>'表５'!J8</f>
        <v>1435388</v>
      </c>
      <c r="H10" s="16">
        <f>'表５'!J9</f>
        <v>8524394</v>
      </c>
      <c r="I10" s="16">
        <f>'表５'!J10</f>
        <v>0</v>
      </c>
      <c r="J10" s="16">
        <f>'表５'!J11</f>
        <v>49000</v>
      </c>
      <c r="K10" s="16">
        <f>'表５'!J12</f>
        <v>0</v>
      </c>
      <c r="L10" s="370"/>
    </row>
    <row r="11" spans="1:12" ht="24.75" customHeight="1">
      <c r="A11" s="1047"/>
      <c r="B11" s="961"/>
      <c r="C11" s="1058" t="s">
        <v>99</v>
      </c>
      <c r="D11" s="10" t="s">
        <v>34</v>
      </c>
      <c r="E11" s="16">
        <f t="shared" si="1"/>
        <v>33668766</v>
      </c>
      <c r="F11" s="16">
        <f t="shared" si="3"/>
        <v>32807766</v>
      </c>
      <c r="G11" s="16">
        <f>'表５'!K8</f>
        <v>679473</v>
      </c>
      <c r="H11" s="16">
        <f>'表５'!K9</f>
        <v>32128293</v>
      </c>
      <c r="I11" s="16">
        <f>'表５'!K10</f>
        <v>0</v>
      </c>
      <c r="J11" s="16">
        <f>'表５'!K11</f>
        <v>861000</v>
      </c>
      <c r="K11" s="16">
        <f>'表５'!K12</f>
        <v>0</v>
      </c>
      <c r="L11" s="370"/>
    </row>
    <row r="12" spans="1:12" ht="24.75" customHeight="1">
      <c r="A12" s="1047"/>
      <c r="B12" s="961"/>
      <c r="C12" s="1059"/>
      <c r="D12" s="10" t="s">
        <v>35</v>
      </c>
      <c r="E12" s="16">
        <f t="shared" si="1"/>
        <v>942570</v>
      </c>
      <c r="F12" s="16">
        <f t="shared" si="3"/>
        <v>942570</v>
      </c>
      <c r="G12" s="16">
        <f>'表５'!L8</f>
        <v>3983</v>
      </c>
      <c r="H12" s="16">
        <f>'表５'!L9</f>
        <v>938587</v>
      </c>
      <c r="I12" s="16">
        <f>'表５'!L10</f>
        <v>0</v>
      </c>
      <c r="J12" s="16">
        <f>'表５'!L11</f>
        <v>0</v>
      </c>
      <c r="K12" s="16">
        <f>'表５'!L12</f>
        <v>0</v>
      </c>
      <c r="L12" s="370"/>
    </row>
    <row r="13" spans="1:12" ht="24.75" customHeight="1">
      <c r="A13" s="1047"/>
      <c r="B13" s="961"/>
      <c r="C13" s="1059"/>
      <c r="D13" s="10" t="s">
        <v>36</v>
      </c>
      <c r="E13" s="16">
        <f t="shared" si="1"/>
        <v>168970</v>
      </c>
      <c r="F13" s="16">
        <f t="shared" si="3"/>
        <v>168970</v>
      </c>
      <c r="G13" s="16">
        <f>'表５'!M8</f>
        <v>1272</v>
      </c>
      <c r="H13" s="16">
        <f>'表５'!M9</f>
        <v>167698</v>
      </c>
      <c r="I13" s="16">
        <f>'表５'!M10</f>
        <v>0</v>
      </c>
      <c r="J13" s="16">
        <f>'表５'!M11</f>
        <v>0</v>
      </c>
      <c r="K13" s="16">
        <f>'表５'!M12</f>
        <v>0</v>
      </c>
      <c r="L13" s="370"/>
    </row>
    <row r="14" spans="1:12" ht="24.75" customHeight="1">
      <c r="A14" s="1047"/>
      <c r="B14" s="961"/>
      <c r="C14" s="1060"/>
      <c r="D14" s="10" t="s">
        <v>37</v>
      </c>
      <c r="E14" s="16">
        <f aca="true" t="shared" si="4" ref="E14:K14">SUM(E11:E13)</f>
        <v>34780306</v>
      </c>
      <c r="F14" s="16">
        <f t="shared" si="4"/>
        <v>33919306</v>
      </c>
      <c r="G14" s="16">
        <f t="shared" si="4"/>
        <v>684728</v>
      </c>
      <c r="H14" s="16">
        <f t="shared" si="4"/>
        <v>33234578</v>
      </c>
      <c r="I14" s="16">
        <f t="shared" si="4"/>
        <v>0</v>
      </c>
      <c r="J14" s="16">
        <f t="shared" si="4"/>
        <v>861000</v>
      </c>
      <c r="K14" s="16">
        <f t="shared" si="4"/>
        <v>0</v>
      </c>
      <c r="L14" s="370"/>
    </row>
    <row r="15" spans="1:12" ht="24.75" customHeight="1">
      <c r="A15" s="1047"/>
      <c r="B15" s="961"/>
      <c r="C15" s="1053" t="s">
        <v>100</v>
      </c>
      <c r="D15" s="1054"/>
      <c r="E15" s="16">
        <f>F15+J15+K15+L15</f>
        <v>2307137</v>
      </c>
      <c r="F15" s="16">
        <f>SUM(G15:I15)</f>
        <v>2307137</v>
      </c>
      <c r="G15" s="16">
        <f>'表５'!N8</f>
        <v>168792</v>
      </c>
      <c r="H15" s="16">
        <f>'表５'!N9</f>
        <v>2138345</v>
      </c>
      <c r="I15" s="16">
        <f>'表５'!N10</f>
        <v>0</v>
      </c>
      <c r="J15" s="16">
        <f>'表５'!N11</f>
        <v>0</v>
      </c>
      <c r="K15" s="16">
        <f>'表５'!N12</f>
        <v>0</v>
      </c>
      <c r="L15" s="370"/>
    </row>
    <row r="16" spans="1:12" ht="24.75" customHeight="1">
      <c r="A16" s="1047"/>
      <c r="B16" s="961"/>
      <c r="C16" s="967" t="s">
        <v>101</v>
      </c>
      <c r="D16" s="967"/>
      <c r="E16" s="16">
        <f>F16+J16+K16+L16</f>
        <v>212128</v>
      </c>
      <c r="F16" s="16">
        <f t="shared" si="3"/>
        <v>212128</v>
      </c>
      <c r="G16" s="17">
        <f>'表５'!O8</f>
        <v>11327</v>
      </c>
      <c r="H16" s="17">
        <f>'表５'!O9</f>
        <v>200801</v>
      </c>
      <c r="I16" s="17">
        <f>'表５'!O10</f>
        <v>0</v>
      </c>
      <c r="J16" s="17">
        <f>'表５'!O11</f>
        <v>0</v>
      </c>
      <c r="K16" s="17">
        <f>'表５'!O12</f>
        <v>0</v>
      </c>
      <c r="L16" s="370"/>
    </row>
    <row r="17" spans="1:12" ht="24.75" customHeight="1">
      <c r="A17" s="1047"/>
      <c r="B17" s="966"/>
      <c r="C17" s="967" t="s">
        <v>317</v>
      </c>
      <c r="D17" s="967"/>
      <c r="E17" s="16">
        <f>F17+J17+K17+L17</f>
        <v>1500392</v>
      </c>
      <c r="F17" s="16">
        <f>SUM(G17:I17)</f>
        <v>1500392</v>
      </c>
      <c r="G17" s="17">
        <f>'表５'!P8</f>
        <v>2985</v>
      </c>
      <c r="H17" s="17">
        <f>'表５'!P9</f>
        <v>1909</v>
      </c>
      <c r="I17" s="17">
        <f>'表５'!P10</f>
        <v>1495498</v>
      </c>
      <c r="J17" s="17">
        <f>'表５'!P11</f>
        <v>0</v>
      </c>
      <c r="K17" s="17">
        <f>'表５'!P12</f>
        <v>0</v>
      </c>
      <c r="L17" s="370"/>
    </row>
    <row r="18" spans="1:12" ht="24.75" customHeight="1">
      <c r="A18" s="1047"/>
      <c r="B18" s="968" t="s">
        <v>40</v>
      </c>
      <c r="C18" s="968"/>
      <c r="D18" s="968"/>
      <c r="E18" s="44">
        <f>F18+J18+K18+L18</f>
        <v>17407800</v>
      </c>
      <c r="F18" s="44">
        <f t="shared" si="3"/>
        <v>16402813</v>
      </c>
      <c r="G18" s="44">
        <f>'表５'!Q8</f>
        <v>514657</v>
      </c>
      <c r="H18" s="44">
        <f>'表５'!Q9</f>
        <v>1907254</v>
      </c>
      <c r="I18" s="44">
        <f>'表５'!Q10</f>
        <v>13980902</v>
      </c>
      <c r="J18" s="44">
        <f>'表５'!Q11</f>
        <v>991100</v>
      </c>
      <c r="K18" s="44">
        <f>'表５'!Q12</f>
        <v>1482</v>
      </c>
      <c r="L18" s="224">
        <f>'表５'!Q13</f>
        <v>12405</v>
      </c>
    </row>
    <row r="19" spans="1:12" ht="24.75" customHeight="1" thickBot="1">
      <c r="A19" s="1048"/>
      <c r="B19" s="1044" t="s">
        <v>41</v>
      </c>
      <c r="C19" s="1044"/>
      <c r="D19" s="1044"/>
      <c r="E19" s="45">
        <f>F19+J19+K19+L19</f>
        <v>12159627</v>
      </c>
      <c r="F19" s="45">
        <f t="shared" si="3"/>
        <v>12011482</v>
      </c>
      <c r="G19" s="45">
        <f>'表５'!R8</f>
        <v>115190</v>
      </c>
      <c r="H19" s="45">
        <f>'表５'!R9</f>
        <v>4806204</v>
      </c>
      <c r="I19" s="45">
        <f>'表５'!R10</f>
        <v>7090088</v>
      </c>
      <c r="J19" s="45">
        <f>'表５'!R11</f>
        <v>131800</v>
      </c>
      <c r="K19" s="45">
        <f>'表５'!R12</f>
        <v>16345</v>
      </c>
      <c r="L19" s="371"/>
    </row>
  </sheetData>
  <sheetProtection/>
  <mergeCells count="26">
    <mergeCell ref="J1:L1"/>
    <mergeCell ref="L2:L4"/>
    <mergeCell ref="F3:F4"/>
    <mergeCell ref="G3:G4"/>
    <mergeCell ref="H3:H4"/>
    <mergeCell ref="I3:I4"/>
    <mergeCell ref="K2:K4"/>
    <mergeCell ref="A1:F1"/>
    <mergeCell ref="A2:D4"/>
    <mergeCell ref="E2:E4"/>
    <mergeCell ref="F2:I2"/>
    <mergeCell ref="C15:D15"/>
    <mergeCell ref="J2:J4"/>
    <mergeCell ref="C16:D16"/>
    <mergeCell ref="C11:C14"/>
    <mergeCell ref="B18:D18"/>
    <mergeCell ref="B7:B17"/>
    <mergeCell ref="B19:D19"/>
    <mergeCell ref="A5:D5"/>
    <mergeCell ref="A6:A19"/>
    <mergeCell ref="B6:D6"/>
    <mergeCell ref="C7:D7"/>
    <mergeCell ref="C8:D8"/>
    <mergeCell ref="C9:D9"/>
    <mergeCell ref="C10:D10"/>
    <mergeCell ref="C17:D17"/>
  </mergeCells>
  <printOptions/>
  <pageMargins left="0.67" right="0.66" top="1" bottom="1" header="0.512" footer="0.512"/>
  <pageSetup fitToHeight="0" fitToWidth="1"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A21" sqref="A21"/>
    </sheetView>
  </sheetViews>
  <sheetFormatPr defaultColWidth="9.00390625" defaultRowHeight="13.5"/>
  <cols>
    <col min="1" max="2" width="2.125" style="7" customWidth="1"/>
    <col min="3" max="3" width="2.625" style="7" customWidth="1"/>
    <col min="4" max="4" width="16.75390625" style="7" customWidth="1"/>
    <col min="5" max="6" width="14.875" style="7" bestFit="1" customWidth="1"/>
    <col min="7" max="9" width="13.125" style="7" customWidth="1"/>
    <col min="10" max="10" width="11.875" style="7" customWidth="1"/>
    <col min="11" max="12" width="10.375" style="7" customWidth="1"/>
    <col min="13" max="16384" width="9.00390625" style="7" customWidth="1"/>
  </cols>
  <sheetData>
    <row r="1" spans="1:12" ht="21" customHeight="1" thickBot="1">
      <c r="A1" s="919" t="s">
        <v>102</v>
      </c>
      <c r="B1" s="919"/>
      <c r="C1" s="919"/>
      <c r="D1" s="919"/>
      <c r="E1" s="919"/>
      <c r="F1" s="919"/>
      <c r="G1" s="919"/>
      <c r="H1" s="919"/>
      <c r="I1" s="919"/>
      <c r="J1" s="1061"/>
      <c r="K1" s="1061"/>
      <c r="L1" s="1061" t="s">
        <v>278</v>
      </c>
    </row>
    <row r="2" spans="1:12" ht="15.75" customHeight="1">
      <c r="A2" s="1071" t="s">
        <v>92</v>
      </c>
      <c r="B2" s="1072"/>
      <c r="C2" s="1072"/>
      <c r="D2" s="1073"/>
      <c r="E2" s="1086" t="s">
        <v>28</v>
      </c>
      <c r="F2" s="1050" t="s">
        <v>93</v>
      </c>
      <c r="G2" s="1051"/>
      <c r="H2" s="1051"/>
      <c r="I2" s="1052"/>
      <c r="J2" s="1055" t="s">
        <v>94</v>
      </c>
      <c r="K2" s="1083" t="s">
        <v>267</v>
      </c>
      <c r="L2" s="1080" t="s">
        <v>262</v>
      </c>
    </row>
    <row r="3" spans="1:12" ht="15.75" customHeight="1">
      <c r="A3" s="1074"/>
      <c r="B3" s="1075"/>
      <c r="C3" s="1075"/>
      <c r="D3" s="1076"/>
      <c r="E3" s="1087"/>
      <c r="F3" s="1065" t="s">
        <v>95</v>
      </c>
      <c r="G3" s="1065" t="s">
        <v>46</v>
      </c>
      <c r="H3" s="1066" t="s">
        <v>257</v>
      </c>
      <c r="I3" s="1065" t="s">
        <v>47</v>
      </c>
      <c r="J3" s="1056"/>
      <c r="K3" s="1084"/>
      <c r="L3" s="1081"/>
    </row>
    <row r="4" spans="1:12" ht="15.75" customHeight="1">
      <c r="A4" s="1077"/>
      <c r="B4" s="1078"/>
      <c r="C4" s="1078"/>
      <c r="D4" s="1079"/>
      <c r="E4" s="1088"/>
      <c r="F4" s="1057"/>
      <c r="G4" s="1057"/>
      <c r="H4" s="1067"/>
      <c r="I4" s="1057"/>
      <c r="J4" s="1057"/>
      <c r="K4" s="1085"/>
      <c r="L4" s="1082"/>
    </row>
    <row r="5" spans="1:12" ht="24.75" customHeight="1">
      <c r="A5" s="1045" t="s">
        <v>28</v>
      </c>
      <c r="B5" s="964"/>
      <c r="C5" s="964"/>
      <c r="D5" s="964"/>
      <c r="E5" s="373"/>
      <c r="F5" s="373"/>
      <c r="G5" s="373"/>
      <c r="H5" s="373"/>
      <c r="I5" s="373"/>
      <c r="J5" s="373"/>
      <c r="K5" s="373"/>
      <c r="L5" s="370"/>
    </row>
    <row r="6" spans="1:12" ht="24.75" customHeight="1">
      <c r="A6" s="1046"/>
      <c r="B6" s="973" t="s">
        <v>29</v>
      </c>
      <c r="C6" s="973"/>
      <c r="D6" s="973"/>
      <c r="E6" s="225">
        <f>ROUND('表６'!E6*1000/'表５'!$F$31,0)</f>
        <v>1218913</v>
      </c>
      <c r="F6" s="225">
        <f>ROUND('表６'!F6*1000/'表５'!$F$31,0)</f>
        <v>1174051</v>
      </c>
      <c r="G6" s="225">
        <f>ROUND('表６'!G6*1000/'表５'!$F$31,0)</f>
        <v>163316</v>
      </c>
      <c r="H6" s="225">
        <f>ROUND('表６'!H6*1000/'表５'!$F$31,0)</f>
        <v>757766</v>
      </c>
      <c r="I6" s="225">
        <f>ROUND('表６'!I6*1000/'表５'!$F$31,0)</f>
        <v>252969</v>
      </c>
      <c r="J6" s="225">
        <f>ROUND('表６'!J6*1000/'表５'!$F$31,0)</f>
        <v>44826</v>
      </c>
      <c r="K6" s="20">
        <f>ROUND('表６'!K6*1000/'表５'!$F$31,0)</f>
        <v>36</v>
      </c>
      <c r="L6" s="177">
        <f>ROUND('表６'!L6*1000/'表５'!$F$31,0)</f>
        <v>0</v>
      </c>
    </row>
    <row r="7" spans="1:12" ht="24.75" customHeight="1">
      <c r="A7" s="1047"/>
      <c r="B7" s="960"/>
      <c r="C7" s="967" t="s">
        <v>96</v>
      </c>
      <c r="D7" s="967"/>
      <c r="E7" s="217">
        <f>ROUND('表６'!E7*1000/'表５'!$G$31,0)</f>
        <v>1333704</v>
      </c>
      <c r="F7" s="217">
        <f>ROUND('表６'!F7*1000/'表５'!$G$31,0)</f>
        <v>1333704</v>
      </c>
      <c r="G7" s="217">
        <f>ROUND('表６'!G7*1000/'表５'!$G$31,0)</f>
        <v>11048</v>
      </c>
      <c r="H7" s="217">
        <f>ROUND('表６'!H7*1000/'表５'!$G$31,0)</f>
        <v>2180</v>
      </c>
      <c r="I7" s="217">
        <f>ROUND('表６'!I7*1000/'表５'!$G$31,0)</f>
        <v>1320476</v>
      </c>
      <c r="J7" s="217">
        <f>ROUND('表６'!J7*1000/'表５'!$G$31,0)</f>
        <v>0</v>
      </c>
      <c r="K7" s="43">
        <f>ROUND('表６'!K7*1000/'表５'!$G$31,0)</f>
        <v>0</v>
      </c>
      <c r="L7" s="372"/>
    </row>
    <row r="8" spans="1:12" ht="24.75" customHeight="1">
      <c r="A8" s="1047"/>
      <c r="B8" s="961"/>
      <c r="C8" s="967" t="s">
        <v>97</v>
      </c>
      <c r="D8" s="967"/>
      <c r="E8" s="217">
        <f>ROUND('表６'!E8*1000/'表５'!$H$31,0)</f>
        <v>1027837</v>
      </c>
      <c r="F8" s="217">
        <f>ROUND('表６'!F8*1000/'表５'!$H$31,0)</f>
        <v>975993</v>
      </c>
      <c r="G8" s="217">
        <f>ROUND('表６'!G8*1000/'表５'!$H$31,0)</f>
        <v>183217</v>
      </c>
      <c r="H8" s="217">
        <f>ROUND('表６'!H8*1000/'表５'!$H$31,0)</f>
        <v>497992</v>
      </c>
      <c r="I8" s="217">
        <f>ROUND('表６'!I8*1000/'表５'!$H$31,0)</f>
        <v>294784</v>
      </c>
      <c r="J8" s="217">
        <f>ROUND('表６'!J8*1000/'表５'!$H$31,0)</f>
        <v>51836</v>
      </c>
      <c r="K8" s="43">
        <f>ROUND('表６'!K8*1000/'表５'!$H$31,0)</f>
        <v>8</v>
      </c>
      <c r="L8" s="372"/>
    </row>
    <row r="9" spans="1:12" ht="24.75" customHeight="1">
      <c r="A9" s="1047"/>
      <c r="B9" s="961"/>
      <c r="C9" s="967" t="s">
        <v>98</v>
      </c>
      <c r="D9" s="967"/>
      <c r="E9" s="217">
        <f>ROUND('表６'!E9*1000/'表５'!$I$31,0)</f>
        <v>1174977</v>
      </c>
      <c r="F9" s="217">
        <f>ROUND('表６'!F9*1000/'表５'!$I$31,0)</f>
        <v>1131188</v>
      </c>
      <c r="G9" s="217">
        <f>ROUND('表６'!G9*1000/'表５'!$I$31,0)</f>
        <v>202011</v>
      </c>
      <c r="H9" s="217">
        <f>ROUND('表６'!H9*1000/'表５'!$I$31,0)</f>
        <v>619782</v>
      </c>
      <c r="I9" s="217">
        <f>ROUND('表６'!I9*1000/'表５'!$I$31,0)</f>
        <v>309394</v>
      </c>
      <c r="J9" s="217">
        <f>ROUND('表６'!J9*1000/'表５'!$I$31,0)</f>
        <v>43662</v>
      </c>
      <c r="K9" s="43">
        <f>ROUND('表６'!K9*1000/'表５'!$I$31,0)</f>
        <v>127</v>
      </c>
      <c r="L9" s="372"/>
    </row>
    <row r="10" spans="1:12" ht="24.75" customHeight="1">
      <c r="A10" s="1047"/>
      <c r="B10" s="961"/>
      <c r="C10" s="1049" t="s">
        <v>242</v>
      </c>
      <c r="D10" s="1049"/>
      <c r="E10" s="217">
        <f>ROUND('表６'!E10*1000/'表５'!$J$31,0)</f>
        <v>6668076</v>
      </c>
      <c r="F10" s="217">
        <f>ROUND('表６'!F10*1000/'表５'!$J$31,0)</f>
        <v>6635431</v>
      </c>
      <c r="G10" s="217">
        <f>ROUND('表６'!G10*1000/'表５'!$J$31,0)</f>
        <v>956288</v>
      </c>
      <c r="H10" s="217">
        <f>ROUND('表６'!H10*1000/'表５'!$J$31,0)</f>
        <v>5679143</v>
      </c>
      <c r="I10" s="217">
        <f>ROUND('表６'!I10*1000/'表５'!$J$31,0)</f>
        <v>0</v>
      </c>
      <c r="J10" s="217">
        <f>ROUND('表６'!J10*1000/'表５'!$J$31,0)</f>
        <v>32645</v>
      </c>
      <c r="K10" s="43">
        <f>ROUND('表６'!K10*1000/'表５'!$J$31,0)</f>
        <v>0</v>
      </c>
      <c r="L10" s="372"/>
    </row>
    <row r="11" spans="1:12" ht="24.75" customHeight="1">
      <c r="A11" s="1047"/>
      <c r="B11" s="961"/>
      <c r="C11" s="1058" t="s">
        <v>99</v>
      </c>
      <c r="D11" s="10" t="s">
        <v>34</v>
      </c>
      <c r="E11" s="217">
        <f>ROUND('表６'!E11*1000/'表５'!$K$31,0)</f>
        <v>1482944</v>
      </c>
      <c r="F11" s="217">
        <f>ROUND('表６'!F11*1000/'表５'!$K$31,0)</f>
        <v>1445021</v>
      </c>
      <c r="G11" s="217">
        <f>ROUND('表６'!G11*1000/'表５'!$K$31,0)</f>
        <v>29927</v>
      </c>
      <c r="H11" s="217">
        <f>ROUND('表６'!H11*1000/'表５'!$K$31,0)</f>
        <v>1415094</v>
      </c>
      <c r="I11" s="217">
        <f>ROUND('表６'!I11*1000/'表５'!$K$31,0)</f>
        <v>0</v>
      </c>
      <c r="J11" s="217">
        <f>ROUND('表６'!J11*1000/'表５'!$K$31,0)</f>
        <v>37923</v>
      </c>
      <c r="K11" s="43">
        <f>ROUND('表６'!K11*1000/'表５'!$K$31,0)</f>
        <v>0</v>
      </c>
      <c r="L11" s="372"/>
    </row>
    <row r="12" spans="1:12" ht="24.75" customHeight="1">
      <c r="A12" s="1047"/>
      <c r="B12" s="961"/>
      <c r="C12" s="1059"/>
      <c r="D12" s="10" t="s">
        <v>35</v>
      </c>
      <c r="E12" s="217">
        <f>ROUND('表６'!E12*1000/'表５'!$L$31,0)</f>
        <v>3195153</v>
      </c>
      <c r="F12" s="217">
        <f>ROUND('表６'!F12*1000/'表５'!$L$31,0)</f>
        <v>3195153</v>
      </c>
      <c r="G12" s="217">
        <f>ROUND('表６'!G12*1000/'表５'!$L$31,0)</f>
        <v>13502</v>
      </c>
      <c r="H12" s="217">
        <f>ROUND('表６'!H12*1000/'表５'!$L$31,0)</f>
        <v>3181651</v>
      </c>
      <c r="I12" s="217">
        <f>ROUND('表６'!I12*1000/'表５'!$L$31,0)</f>
        <v>0</v>
      </c>
      <c r="J12" s="217">
        <f>ROUND('表６'!J12*1000/'表５'!$L$31,0)</f>
        <v>0</v>
      </c>
      <c r="K12" s="43">
        <f>ROUND('表６'!K12*1000/'表５'!$L$31,0)</f>
        <v>0</v>
      </c>
      <c r="L12" s="372"/>
    </row>
    <row r="13" spans="1:12" ht="24.75" customHeight="1">
      <c r="A13" s="1047"/>
      <c r="B13" s="961"/>
      <c r="C13" s="1059"/>
      <c r="D13" s="10" t="s">
        <v>36</v>
      </c>
      <c r="E13" s="217">
        <f>ROUND('表６'!E13*1000/'表５'!$M$31,0)</f>
        <v>372181</v>
      </c>
      <c r="F13" s="217">
        <f>ROUND('表６'!F13*1000/'表５'!$M$31,0)</f>
        <v>372181</v>
      </c>
      <c r="G13" s="217">
        <f>ROUND('表６'!G13*1000/'表５'!$M$31,0)</f>
        <v>2802</v>
      </c>
      <c r="H13" s="217">
        <f>ROUND('表６'!H13*1000/'表５'!$M$31,0)</f>
        <v>369379</v>
      </c>
      <c r="I13" s="217">
        <f>ROUND('表６'!I13*1000/'表５'!$M$31,0)</f>
        <v>0</v>
      </c>
      <c r="J13" s="217">
        <f>ROUND('表６'!J13*1000/'表５'!$M$31,0)</f>
        <v>0</v>
      </c>
      <c r="K13" s="43">
        <f>ROUND('表６'!K13*1000/'表５'!$M$31,0)</f>
        <v>0</v>
      </c>
      <c r="L13" s="372"/>
    </row>
    <row r="14" spans="1:12" ht="24.75" customHeight="1">
      <c r="A14" s="1047"/>
      <c r="B14" s="961"/>
      <c r="C14" s="1060"/>
      <c r="D14" s="10" t="s">
        <v>37</v>
      </c>
      <c r="E14" s="217">
        <f>ROUND('表６'!E14*1000/SUM('表５'!$K$31:$M$31),0)</f>
        <v>1482979</v>
      </c>
      <c r="F14" s="217">
        <f>ROUND('表６'!F14*1000/SUM('表５'!$K$31:$M$31),0)</f>
        <v>1446267</v>
      </c>
      <c r="G14" s="217">
        <f>ROUND('表６'!G14*1000/SUM('表５'!$K$31:$M$31),0)</f>
        <v>29196</v>
      </c>
      <c r="H14" s="217">
        <f>ROUND('表６'!H14*1000/SUM('表５'!$K$31:$M$31),0)</f>
        <v>1417072</v>
      </c>
      <c r="I14" s="217">
        <f>ROUND('表６'!I14*1000/SUM('表５'!$K$31:$M$31),0)</f>
        <v>0</v>
      </c>
      <c r="J14" s="217">
        <f>ROUND('表６'!J14*1000/SUM('表５'!$K$31:$M$31),0)</f>
        <v>36712</v>
      </c>
      <c r="K14" s="43">
        <f>ROUND('表６'!K14*1000/SUM('表５'!$K$31:$M$31),0)</f>
        <v>0</v>
      </c>
      <c r="L14" s="372"/>
    </row>
    <row r="15" spans="1:12" ht="24.75" customHeight="1">
      <c r="A15" s="1047"/>
      <c r="B15" s="961"/>
      <c r="C15" s="1053" t="s">
        <v>100</v>
      </c>
      <c r="D15" s="1054"/>
      <c r="E15" s="217">
        <f>ROUND('表６'!E15*1000/'表５'!$N$31,0)</f>
        <v>969793</v>
      </c>
      <c r="F15" s="217">
        <f>ROUND('表６'!F15*1000/'表５'!$N$31,0)</f>
        <v>969793</v>
      </c>
      <c r="G15" s="217">
        <f>ROUND('表６'!G15*1000/'表５'!$N$31,0)</f>
        <v>70951</v>
      </c>
      <c r="H15" s="217">
        <f>ROUND('表６'!H15*1000/'表５'!$N$31,0)</f>
        <v>898842</v>
      </c>
      <c r="I15" s="217">
        <f>ROUND('表６'!I15*1000/'表５'!$N$31,0)</f>
        <v>0</v>
      </c>
      <c r="J15" s="217">
        <f>ROUND('表６'!J15*1000/'表５'!$N$31,0)</f>
        <v>0</v>
      </c>
      <c r="K15" s="43">
        <f>ROUND('表６'!K15*1000/'表５'!$N$31,0)</f>
        <v>0</v>
      </c>
      <c r="L15" s="372"/>
    </row>
    <row r="16" spans="1:12" ht="24.75" customHeight="1">
      <c r="A16" s="1047"/>
      <c r="B16" s="961"/>
      <c r="C16" s="967" t="s">
        <v>101</v>
      </c>
      <c r="D16" s="967"/>
      <c r="E16" s="217">
        <f>ROUND('表６'!E16*1000/'表５'!$O$31,0)</f>
        <v>2438253</v>
      </c>
      <c r="F16" s="217">
        <f>ROUND('表６'!F16*1000/'表５'!$O$31,0)</f>
        <v>2438253</v>
      </c>
      <c r="G16" s="217">
        <f>ROUND('表６'!G16*1000/'表５'!$O$31,0)</f>
        <v>130195</v>
      </c>
      <c r="H16" s="217">
        <f>ROUND('表６'!H16*1000/'表５'!$O$31,0)</f>
        <v>2308057</v>
      </c>
      <c r="I16" s="217">
        <f>ROUND('表６'!I16*1000/'表５'!$O$31,0)</f>
        <v>0</v>
      </c>
      <c r="J16" s="217">
        <f>ROUND('表６'!J16*1000/'表５'!$O$31,0)</f>
        <v>0</v>
      </c>
      <c r="K16" s="43">
        <f>ROUND('表６'!K16*1000/'表５'!$O$31,0)</f>
        <v>0</v>
      </c>
      <c r="L16" s="372"/>
    </row>
    <row r="17" spans="1:12" ht="24.75" customHeight="1">
      <c r="A17" s="1047"/>
      <c r="B17" s="966"/>
      <c r="C17" s="967" t="s">
        <v>317</v>
      </c>
      <c r="D17" s="967"/>
      <c r="E17" s="217">
        <f>ROUND('表６'!E17*1000/'表５'!$P$31,0)</f>
        <v>1208045</v>
      </c>
      <c r="F17" s="217">
        <f>ROUND('表６'!F17*1000/'表５'!$P$31,0)</f>
        <v>1208045</v>
      </c>
      <c r="G17" s="217">
        <f>ROUND('表６'!G17*1000/'表５'!$P$31,0)</f>
        <v>2403</v>
      </c>
      <c r="H17" s="217">
        <f>ROUND('表６'!H17*1000/'表５'!$P$31,0)</f>
        <v>1537</v>
      </c>
      <c r="I17" s="217">
        <f>ROUND('表６'!I17*1000/'表５'!$P$31,0)</f>
        <v>1204105</v>
      </c>
      <c r="J17" s="217">
        <f>ROUND('表６'!J17*1000/'表５'!$P$31,0)</f>
        <v>0</v>
      </c>
      <c r="K17" s="43">
        <f>ROUND('表６'!K17*1000/'表５'!$P$31,0)</f>
        <v>0</v>
      </c>
      <c r="L17" s="372"/>
    </row>
    <row r="18" spans="1:12" ht="24.75" customHeight="1">
      <c r="A18" s="1047"/>
      <c r="B18" s="968" t="s">
        <v>40</v>
      </c>
      <c r="C18" s="968"/>
      <c r="D18" s="968"/>
      <c r="E18" s="226">
        <f>ROUND('表６'!E18*1000/'表５'!$Q$31,0)</f>
        <v>12976</v>
      </c>
      <c r="F18" s="226">
        <f>ROUND('表６'!F18*1000/'表５'!$Q$31,0)</f>
        <v>12227</v>
      </c>
      <c r="G18" s="226">
        <f>ROUND('表６'!G18*1000/'表５'!$Q$31,0)</f>
        <v>384</v>
      </c>
      <c r="H18" s="226">
        <f>ROUND('表６'!H18*1000/'表５'!$Q$31,0)</f>
        <v>1422</v>
      </c>
      <c r="I18" s="226">
        <f>ROUND('表６'!I18*1000/'表５'!$Q$31,0)</f>
        <v>10422</v>
      </c>
      <c r="J18" s="226">
        <f>ROUND('表６'!J18*1000/'表５'!$Q$31,0)</f>
        <v>739</v>
      </c>
      <c r="K18" s="44">
        <f>ROUND('表６'!K18*1000/'表５'!$Q$31,0)</f>
        <v>1</v>
      </c>
      <c r="L18" s="173">
        <f>ROUND('表６'!L18*1000/'表５'!$Q$31,0)</f>
        <v>9</v>
      </c>
    </row>
    <row r="19" spans="1:12" ht="24.75" customHeight="1" thickBot="1">
      <c r="A19" s="1048"/>
      <c r="B19" s="1044" t="s">
        <v>41</v>
      </c>
      <c r="C19" s="1044"/>
      <c r="D19" s="1044"/>
      <c r="E19" s="227">
        <f>ROUND('表６'!E19*1000/'表５'!$R$31,0)</f>
        <v>9064</v>
      </c>
      <c r="F19" s="227">
        <f>ROUND('表６'!F19*1000/'表５'!$R$31,0)</f>
        <v>8954</v>
      </c>
      <c r="G19" s="227">
        <f>ROUND('表６'!G19*1000/'表５'!$R$31,0)</f>
        <v>86</v>
      </c>
      <c r="H19" s="227">
        <f>ROUND('表６'!H19*1000/'表５'!$R$31,0)</f>
        <v>3583</v>
      </c>
      <c r="I19" s="227">
        <f>ROUND('表６'!I19*1000/'表５'!$R$31,0)</f>
        <v>5285</v>
      </c>
      <c r="J19" s="227">
        <f>ROUND('表６'!J19*1000/'表５'!$R$31,0)</f>
        <v>98</v>
      </c>
      <c r="K19" s="45">
        <f>ROUND('表６'!K19*1000/'表５'!$R$31,0)</f>
        <v>12</v>
      </c>
      <c r="L19" s="371"/>
    </row>
    <row r="20" ht="16.5" customHeight="1">
      <c r="A20" s="7" t="s">
        <v>562</v>
      </c>
    </row>
    <row r="21" ht="16.5" customHeight="1">
      <c r="A21" s="7" t="s">
        <v>103</v>
      </c>
    </row>
    <row r="25" ht="11.25" customHeight="1"/>
  </sheetData>
  <sheetProtection/>
  <mergeCells count="26">
    <mergeCell ref="J1:L1"/>
    <mergeCell ref="L2:L4"/>
    <mergeCell ref="F3:F4"/>
    <mergeCell ref="G3:G4"/>
    <mergeCell ref="H3:H4"/>
    <mergeCell ref="I3:I4"/>
    <mergeCell ref="K2:K4"/>
    <mergeCell ref="A1:I1"/>
    <mergeCell ref="A2:D4"/>
    <mergeCell ref="E2:E4"/>
    <mergeCell ref="F2:I2"/>
    <mergeCell ref="C15:D15"/>
    <mergeCell ref="J2:J4"/>
    <mergeCell ref="C16:D16"/>
    <mergeCell ref="C11:C14"/>
    <mergeCell ref="B18:D18"/>
    <mergeCell ref="B7:B17"/>
    <mergeCell ref="B19:D19"/>
    <mergeCell ref="A5:D5"/>
    <mergeCell ref="A6:A19"/>
    <mergeCell ref="B6:D6"/>
    <mergeCell ref="C7:D7"/>
    <mergeCell ref="C8:D8"/>
    <mergeCell ref="C9:D9"/>
    <mergeCell ref="C10:D10"/>
    <mergeCell ref="C17:D17"/>
  </mergeCells>
  <printOptions/>
  <pageMargins left="0.66" right="0.64" top="1" bottom="1" header="0.512" footer="0.512"/>
  <pageSetup fitToHeight="0" fitToWidth="1"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
      <selection activeCell="L2" sqref="L2"/>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9.75390625" style="7" bestFit="1" customWidth="1"/>
    <col min="12" max="12" width="9.875" style="7" customWidth="1"/>
    <col min="13" max="16384" width="9.00390625" style="7" customWidth="1"/>
  </cols>
  <sheetData>
    <row r="1" spans="1:7" ht="21" customHeight="1">
      <c r="A1" s="1112" t="s">
        <v>104</v>
      </c>
      <c r="B1" s="1112"/>
      <c r="C1" s="1112"/>
      <c r="D1" s="1112"/>
      <c r="E1" s="1112"/>
      <c r="F1" s="1112"/>
      <c r="G1" s="1112"/>
    </row>
    <row r="2" spans="11:12" ht="21" customHeight="1" thickBot="1">
      <c r="K2" s="479" t="s">
        <v>105</v>
      </c>
      <c r="L2" s="906">
        <v>1120</v>
      </c>
    </row>
    <row r="3" spans="1:12" ht="16.5" customHeight="1">
      <c r="A3" s="1113" t="s">
        <v>106</v>
      </c>
      <c r="B3" s="1114"/>
      <c r="C3" s="1114"/>
      <c r="D3" s="1114"/>
      <c r="E3" s="1115"/>
      <c r="F3" s="1055" t="s">
        <v>28</v>
      </c>
      <c r="G3" s="1050" t="s">
        <v>93</v>
      </c>
      <c r="H3" s="1051"/>
      <c r="I3" s="1051"/>
      <c r="J3" s="1052"/>
      <c r="K3" s="1055" t="s">
        <v>107</v>
      </c>
      <c r="L3" s="1110" t="s">
        <v>264</v>
      </c>
    </row>
    <row r="4" spans="1:12" ht="33" customHeight="1" thickBot="1">
      <c r="A4" s="1116"/>
      <c r="B4" s="1117"/>
      <c r="C4" s="1117"/>
      <c r="D4" s="1117"/>
      <c r="E4" s="1118"/>
      <c r="F4" s="1109"/>
      <c r="G4" s="46" t="s">
        <v>108</v>
      </c>
      <c r="H4" s="46" t="s">
        <v>268</v>
      </c>
      <c r="I4" s="181" t="s">
        <v>263</v>
      </c>
      <c r="J4" s="181" t="s">
        <v>269</v>
      </c>
      <c r="K4" s="1109"/>
      <c r="L4" s="1111"/>
    </row>
    <row r="5" spans="1:12" ht="18.75" customHeight="1">
      <c r="A5" s="1103" t="s">
        <v>27</v>
      </c>
      <c r="B5" s="1106" t="s">
        <v>109</v>
      </c>
      <c r="C5" s="1107"/>
      <c r="D5" s="1107"/>
      <c r="E5" s="1108"/>
      <c r="F5" s="49">
        <f>G5+K5+L5</f>
        <v>1493749</v>
      </c>
      <c r="G5" s="49">
        <f>SUM(H5:J5)</f>
        <v>1493749</v>
      </c>
      <c r="H5" s="49">
        <f>H6+H14+H15</f>
        <v>12374</v>
      </c>
      <c r="I5" s="49">
        <f>I6+I14+I15</f>
        <v>2442</v>
      </c>
      <c r="J5" s="49">
        <f>J6+J14+J15</f>
        <v>1478933</v>
      </c>
      <c r="K5" s="49">
        <f>K6+K14+K15</f>
        <v>0</v>
      </c>
      <c r="L5" s="57">
        <f>L6+L14+L15</f>
        <v>0</v>
      </c>
    </row>
    <row r="6" spans="1:12" ht="18.75" customHeight="1">
      <c r="A6" s="1104"/>
      <c r="B6" s="960"/>
      <c r="C6" s="1089" t="s">
        <v>110</v>
      </c>
      <c r="D6" s="1094"/>
      <c r="E6" s="1090"/>
      <c r="F6" s="16">
        <f aca="true" t="shared" si="0" ref="F6:F15">G6+K6+L6</f>
        <v>1397012</v>
      </c>
      <c r="G6" s="49">
        <f aca="true" t="shared" si="1" ref="G6:G15">SUM(H6:J6)</f>
        <v>1397012</v>
      </c>
      <c r="H6" s="16">
        <f>H7+SUM(H10:H13)</f>
        <v>1900</v>
      </c>
      <c r="I6" s="16">
        <f>I7+SUM(I10:I13)</f>
        <v>2442</v>
      </c>
      <c r="J6" s="16">
        <f>J7+SUM(J10:J13)</f>
        <v>1392670</v>
      </c>
      <c r="K6" s="16">
        <f>K7+SUM(K10:K13)</f>
        <v>0</v>
      </c>
      <c r="L6" s="18">
        <f>L7+SUM(L10:L13)</f>
        <v>0</v>
      </c>
    </row>
    <row r="7" spans="1:14" ht="18.75" customHeight="1">
      <c r="A7" s="1104"/>
      <c r="B7" s="961"/>
      <c r="C7" s="960"/>
      <c r="D7" s="1089" t="s">
        <v>111</v>
      </c>
      <c r="E7" s="1090"/>
      <c r="F7" s="16">
        <f>G7+K7+L7</f>
        <v>1201761</v>
      </c>
      <c r="G7" s="49">
        <f t="shared" si="1"/>
        <v>1201761</v>
      </c>
      <c r="H7" s="43">
        <v>136</v>
      </c>
      <c r="I7" s="43">
        <v>0</v>
      </c>
      <c r="J7" s="43">
        <v>1201625</v>
      </c>
      <c r="K7" s="43">
        <v>0</v>
      </c>
      <c r="L7" s="122">
        <v>0</v>
      </c>
      <c r="N7" s="478"/>
    </row>
    <row r="8" spans="1:12" ht="18.75" customHeight="1">
      <c r="A8" s="1104"/>
      <c r="B8" s="961"/>
      <c r="C8" s="961"/>
      <c r="D8" s="960"/>
      <c r="E8" s="50" t="s">
        <v>280</v>
      </c>
      <c r="F8" s="16">
        <f t="shared" si="0"/>
        <v>790268</v>
      </c>
      <c r="G8" s="49">
        <f t="shared" si="1"/>
        <v>790268</v>
      </c>
      <c r="H8" s="43">
        <v>0</v>
      </c>
      <c r="I8" s="43">
        <v>0</v>
      </c>
      <c r="J8" s="43">
        <v>790268</v>
      </c>
      <c r="K8" s="43">
        <v>0</v>
      </c>
      <c r="L8" s="122">
        <v>0</v>
      </c>
    </row>
    <row r="9" spans="1:13" ht="18.75" customHeight="1">
      <c r="A9" s="1104"/>
      <c r="B9" s="961"/>
      <c r="C9" s="961"/>
      <c r="D9" s="966"/>
      <c r="E9" s="11" t="s">
        <v>112</v>
      </c>
      <c r="F9" s="16">
        <f t="shared" si="0"/>
        <v>411493</v>
      </c>
      <c r="G9" s="49">
        <f t="shared" si="1"/>
        <v>411493</v>
      </c>
      <c r="H9" s="43">
        <f>H7-H8</f>
        <v>136</v>
      </c>
      <c r="I9" s="43">
        <f>I7-I8</f>
        <v>0</v>
      </c>
      <c r="J9" s="43">
        <f>J7-J8</f>
        <v>411357</v>
      </c>
      <c r="K9" s="43">
        <f>K7-K8</f>
        <v>0</v>
      </c>
      <c r="L9" s="439">
        <f>L7-L8</f>
        <v>0</v>
      </c>
      <c r="M9" s="440"/>
    </row>
    <row r="10" spans="1:12" ht="18.75" customHeight="1">
      <c r="A10" s="1104"/>
      <c r="B10" s="961"/>
      <c r="C10" s="961"/>
      <c r="D10" s="1089" t="s">
        <v>113</v>
      </c>
      <c r="E10" s="1090"/>
      <c r="F10" s="16">
        <f>G10+K10+L10</f>
        <v>24458</v>
      </c>
      <c r="G10" s="49">
        <f t="shared" si="1"/>
        <v>24458</v>
      </c>
      <c r="H10" s="43">
        <v>0</v>
      </c>
      <c r="I10" s="43">
        <v>224</v>
      </c>
      <c r="J10" s="43">
        <v>24234</v>
      </c>
      <c r="K10" s="43">
        <v>0</v>
      </c>
      <c r="L10" s="122">
        <v>0</v>
      </c>
    </row>
    <row r="11" spans="1:12" ht="18.75" customHeight="1">
      <c r="A11" s="1104"/>
      <c r="B11" s="961"/>
      <c r="C11" s="961"/>
      <c r="D11" s="1089" t="s">
        <v>114</v>
      </c>
      <c r="E11" s="1090"/>
      <c r="F11" s="16">
        <f t="shared" si="0"/>
        <v>107536</v>
      </c>
      <c r="G11" s="49">
        <f t="shared" si="1"/>
        <v>107536</v>
      </c>
      <c r="H11" s="43">
        <v>115</v>
      </c>
      <c r="I11" s="43">
        <v>175</v>
      </c>
      <c r="J11" s="43">
        <v>107246</v>
      </c>
      <c r="K11" s="43">
        <v>0</v>
      </c>
      <c r="L11" s="122">
        <v>0</v>
      </c>
    </row>
    <row r="12" spans="1:12" ht="18.75" customHeight="1">
      <c r="A12" s="1104"/>
      <c r="B12" s="961"/>
      <c r="C12" s="961"/>
      <c r="D12" s="1089" t="s">
        <v>115</v>
      </c>
      <c r="E12" s="1090"/>
      <c r="F12" s="16">
        <f t="shared" si="0"/>
        <v>52077</v>
      </c>
      <c r="G12" s="49">
        <f t="shared" si="1"/>
        <v>52077</v>
      </c>
      <c r="H12" s="43">
        <v>1649</v>
      </c>
      <c r="I12" s="43">
        <v>2043</v>
      </c>
      <c r="J12" s="43">
        <v>48385</v>
      </c>
      <c r="K12" s="43">
        <v>0</v>
      </c>
      <c r="L12" s="122">
        <v>0</v>
      </c>
    </row>
    <row r="13" spans="1:12" ht="18.75" customHeight="1">
      <c r="A13" s="1104"/>
      <c r="B13" s="961"/>
      <c r="C13" s="966"/>
      <c r="D13" s="1089" t="s">
        <v>116</v>
      </c>
      <c r="E13" s="1090"/>
      <c r="F13" s="16">
        <f t="shared" si="0"/>
        <v>11180</v>
      </c>
      <c r="G13" s="49">
        <f t="shared" si="1"/>
        <v>11180</v>
      </c>
      <c r="H13" s="43">
        <v>0</v>
      </c>
      <c r="I13" s="43">
        <v>0</v>
      </c>
      <c r="J13" s="43">
        <v>11180</v>
      </c>
      <c r="K13" s="43">
        <v>0</v>
      </c>
      <c r="L13" s="122">
        <v>0</v>
      </c>
    </row>
    <row r="14" spans="1:12" ht="18.75" customHeight="1">
      <c r="A14" s="1104"/>
      <c r="B14" s="961"/>
      <c r="C14" s="1089" t="s">
        <v>117</v>
      </c>
      <c r="D14" s="1094"/>
      <c r="E14" s="1090"/>
      <c r="F14" s="49">
        <f t="shared" si="0"/>
        <v>23407</v>
      </c>
      <c r="G14" s="49">
        <f t="shared" si="1"/>
        <v>23407</v>
      </c>
      <c r="H14" s="902">
        <v>10474</v>
      </c>
      <c r="I14" s="902">
        <v>0</v>
      </c>
      <c r="J14" s="902">
        <v>12933</v>
      </c>
      <c r="K14" s="902">
        <v>0</v>
      </c>
      <c r="L14" s="903">
        <v>0</v>
      </c>
    </row>
    <row r="15" spans="1:12" ht="18.75" customHeight="1" thickBot="1">
      <c r="A15" s="1105"/>
      <c r="B15" s="970"/>
      <c r="C15" s="1095" t="s">
        <v>118</v>
      </c>
      <c r="D15" s="1096"/>
      <c r="E15" s="1097"/>
      <c r="F15" s="51">
        <f t="shared" si="0"/>
        <v>73330</v>
      </c>
      <c r="G15" s="49">
        <f t="shared" si="1"/>
        <v>73330</v>
      </c>
      <c r="H15" s="904">
        <v>0</v>
      </c>
      <c r="I15" s="904">
        <v>0</v>
      </c>
      <c r="J15" s="904">
        <v>73330</v>
      </c>
      <c r="K15" s="904">
        <v>0</v>
      </c>
      <c r="L15" s="905">
        <v>0</v>
      </c>
    </row>
    <row r="16" spans="1:12" ht="18.75" customHeight="1" thickTop="1">
      <c r="A16" s="1098" t="s">
        <v>119</v>
      </c>
      <c r="B16" s="1100" t="s">
        <v>109</v>
      </c>
      <c r="C16" s="1101"/>
      <c r="D16" s="1101"/>
      <c r="E16" s="1102"/>
      <c r="F16" s="228">
        <f>ROUND(F5*1000/$L$2,0)</f>
        <v>1333704</v>
      </c>
      <c r="G16" s="228">
        <f aca="true" t="shared" si="2" ref="G16:L16">ROUND(G5*1000/$L$2,0)</f>
        <v>1333704</v>
      </c>
      <c r="H16" s="234">
        <f t="shared" si="2"/>
        <v>11048</v>
      </c>
      <c r="I16" s="234">
        <f t="shared" si="2"/>
        <v>2180</v>
      </c>
      <c r="J16" s="234">
        <f t="shared" si="2"/>
        <v>1320476</v>
      </c>
      <c r="K16" s="234">
        <f t="shared" si="2"/>
        <v>0</v>
      </c>
      <c r="L16" s="235">
        <f t="shared" si="2"/>
        <v>0</v>
      </c>
    </row>
    <row r="17" spans="1:12" ht="18.75" customHeight="1">
      <c r="A17" s="1098"/>
      <c r="B17" s="960"/>
      <c r="C17" s="1089" t="s">
        <v>110</v>
      </c>
      <c r="D17" s="1094"/>
      <c r="E17" s="1090"/>
      <c r="F17" s="49">
        <f aca="true" t="shared" si="3" ref="F17:L17">ROUND(F6*1000/$L$2,0)</f>
        <v>1247332</v>
      </c>
      <c r="G17" s="49">
        <f t="shared" si="3"/>
        <v>1247332</v>
      </c>
      <c r="H17" s="49">
        <f t="shared" si="3"/>
        <v>1696</v>
      </c>
      <c r="I17" s="49">
        <f t="shared" si="3"/>
        <v>2180</v>
      </c>
      <c r="J17" s="49">
        <f t="shared" si="3"/>
        <v>1243455</v>
      </c>
      <c r="K17" s="49">
        <f t="shared" si="3"/>
        <v>0</v>
      </c>
      <c r="L17" s="57">
        <f t="shared" si="3"/>
        <v>0</v>
      </c>
    </row>
    <row r="18" spans="1:12" ht="18.75" customHeight="1">
      <c r="A18" s="1098"/>
      <c r="B18" s="961"/>
      <c r="C18" s="960"/>
      <c r="D18" s="1089" t="s">
        <v>111</v>
      </c>
      <c r="E18" s="1090"/>
      <c r="F18" s="49">
        <f aca="true" t="shared" si="4" ref="F18:L18">ROUND(F7*1000/$L$2,0)</f>
        <v>1073001</v>
      </c>
      <c r="G18" s="49">
        <f t="shared" si="4"/>
        <v>1073001</v>
      </c>
      <c r="H18" s="49">
        <f t="shared" si="4"/>
        <v>121</v>
      </c>
      <c r="I18" s="49">
        <f t="shared" si="4"/>
        <v>0</v>
      </c>
      <c r="J18" s="49">
        <f t="shared" si="4"/>
        <v>1072879</v>
      </c>
      <c r="K18" s="49">
        <f t="shared" si="4"/>
        <v>0</v>
      </c>
      <c r="L18" s="57">
        <f t="shared" si="4"/>
        <v>0</v>
      </c>
    </row>
    <row r="19" spans="1:12" ht="18.75" customHeight="1">
      <c r="A19" s="1098"/>
      <c r="B19" s="961"/>
      <c r="C19" s="961"/>
      <c r="D19" s="960"/>
      <c r="E19" s="50" t="s">
        <v>281</v>
      </c>
      <c r="F19" s="49">
        <f aca="true" t="shared" si="5" ref="F19:L19">ROUND(F8*1000/$L$2,0)</f>
        <v>705596</v>
      </c>
      <c r="G19" s="49">
        <f t="shared" si="5"/>
        <v>705596</v>
      </c>
      <c r="H19" s="49">
        <f t="shared" si="5"/>
        <v>0</v>
      </c>
      <c r="I19" s="49">
        <f t="shared" si="5"/>
        <v>0</v>
      </c>
      <c r="J19" s="49">
        <f t="shared" si="5"/>
        <v>705596</v>
      </c>
      <c r="K19" s="49">
        <f t="shared" si="5"/>
        <v>0</v>
      </c>
      <c r="L19" s="57">
        <f t="shared" si="5"/>
        <v>0</v>
      </c>
    </row>
    <row r="20" spans="1:12" ht="18.75" customHeight="1">
      <c r="A20" s="1098"/>
      <c r="B20" s="961"/>
      <c r="C20" s="961"/>
      <c r="D20" s="966"/>
      <c r="E20" s="11" t="s">
        <v>112</v>
      </c>
      <c r="F20" s="49">
        <f aca="true" t="shared" si="6" ref="F20:L20">ROUND(F9*1000/$L$2,0)</f>
        <v>367404</v>
      </c>
      <c r="G20" s="49">
        <f t="shared" si="6"/>
        <v>367404</v>
      </c>
      <c r="H20" s="49">
        <f t="shared" si="6"/>
        <v>121</v>
      </c>
      <c r="I20" s="49">
        <f t="shared" si="6"/>
        <v>0</v>
      </c>
      <c r="J20" s="49">
        <f t="shared" si="6"/>
        <v>367283</v>
      </c>
      <c r="K20" s="49">
        <f t="shared" si="6"/>
        <v>0</v>
      </c>
      <c r="L20" s="57">
        <f t="shared" si="6"/>
        <v>0</v>
      </c>
    </row>
    <row r="21" spans="1:12" ht="18.75" customHeight="1">
      <c r="A21" s="1098"/>
      <c r="B21" s="961"/>
      <c r="C21" s="961"/>
      <c r="D21" s="1089" t="s">
        <v>113</v>
      </c>
      <c r="E21" s="1090"/>
      <c r="F21" s="49">
        <f aca="true" t="shared" si="7" ref="F21:L21">ROUND(F10*1000/$L$2,0)</f>
        <v>21838</v>
      </c>
      <c r="G21" s="49">
        <f t="shared" si="7"/>
        <v>21838</v>
      </c>
      <c r="H21" s="49">
        <f t="shared" si="7"/>
        <v>0</v>
      </c>
      <c r="I21" s="49">
        <f t="shared" si="7"/>
        <v>200</v>
      </c>
      <c r="J21" s="49">
        <f t="shared" si="7"/>
        <v>21638</v>
      </c>
      <c r="K21" s="49">
        <f t="shared" si="7"/>
        <v>0</v>
      </c>
      <c r="L21" s="57">
        <f t="shared" si="7"/>
        <v>0</v>
      </c>
    </row>
    <row r="22" spans="1:12" ht="18.75" customHeight="1">
      <c r="A22" s="1098"/>
      <c r="B22" s="961"/>
      <c r="C22" s="961"/>
      <c r="D22" s="1089" t="s">
        <v>114</v>
      </c>
      <c r="E22" s="1090"/>
      <c r="F22" s="49">
        <f aca="true" t="shared" si="8" ref="F22:L22">ROUND(F11*1000/$L$2,0)</f>
        <v>96014</v>
      </c>
      <c r="G22" s="49">
        <f t="shared" si="8"/>
        <v>96014</v>
      </c>
      <c r="H22" s="49">
        <f t="shared" si="8"/>
        <v>103</v>
      </c>
      <c r="I22" s="49">
        <f t="shared" si="8"/>
        <v>156</v>
      </c>
      <c r="J22" s="49">
        <f t="shared" si="8"/>
        <v>95755</v>
      </c>
      <c r="K22" s="49">
        <f t="shared" si="8"/>
        <v>0</v>
      </c>
      <c r="L22" s="57">
        <f t="shared" si="8"/>
        <v>0</v>
      </c>
    </row>
    <row r="23" spans="1:12" ht="18.75" customHeight="1">
      <c r="A23" s="1098"/>
      <c r="B23" s="961"/>
      <c r="C23" s="961"/>
      <c r="D23" s="1089" t="s">
        <v>115</v>
      </c>
      <c r="E23" s="1090"/>
      <c r="F23" s="49">
        <f aca="true" t="shared" si="9" ref="F23:L23">ROUND(F12*1000/$L$2,0)</f>
        <v>46497</v>
      </c>
      <c r="G23" s="49">
        <f t="shared" si="9"/>
        <v>46497</v>
      </c>
      <c r="H23" s="49">
        <f t="shared" si="9"/>
        <v>1472</v>
      </c>
      <c r="I23" s="49">
        <f t="shared" si="9"/>
        <v>1824</v>
      </c>
      <c r="J23" s="49">
        <f t="shared" si="9"/>
        <v>43201</v>
      </c>
      <c r="K23" s="49">
        <f t="shared" si="9"/>
        <v>0</v>
      </c>
      <c r="L23" s="57">
        <f t="shared" si="9"/>
        <v>0</v>
      </c>
    </row>
    <row r="24" spans="1:12" ht="18.75" customHeight="1">
      <c r="A24" s="1098"/>
      <c r="B24" s="961"/>
      <c r="C24" s="966"/>
      <c r="D24" s="1089" t="s">
        <v>116</v>
      </c>
      <c r="E24" s="1090"/>
      <c r="F24" s="49">
        <f aca="true" t="shared" si="10" ref="F24:L24">ROUND(F13*1000/$L$2,0)</f>
        <v>9982</v>
      </c>
      <c r="G24" s="49">
        <f t="shared" si="10"/>
        <v>9982</v>
      </c>
      <c r="H24" s="49">
        <f t="shared" si="10"/>
        <v>0</v>
      </c>
      <c r="I24" s="49">
        <f t="shared" si="10"/>
        <v>0</v>
      </c>
      <c r="J24" s="49">
        <f t="shared" si="10"/>
        <v>9982</v>
      </c>
      <c r="K24" s="49">
        <f t="shared" si="10"/>
        <v>0</v>
      </c>
      <c r="L24" s="57">
        <f t="shared" si="10"/>
        <v>0</v>
      </c>
    </row>
    <row r="25" spans="1:12" ht="18.75" customHeight="1">
      <c r="A25" s="1098"/>
      <c r="B25" s="961"/>
      <c r="C25" s="1089" t="s">
        <v>117</v>
      </c>
      <c r="D25" s="1094"/>
      <c r="E25" s="1090"/>
      <c r="F25" s="49">
        <f aca="true" t="shared" si="11" ref="F25:L25">ROUND(F14*1000/$L$2,0)</f>
        <v>20899</v>
      </c>
      <c r="G25" s="49">
        <f t="shared" si="11"/>
        <v>20899</v>
      </c>
      <c r="H25" s="49">
        <f t="shared" si="11"/>
        <v>9352</v>
      </c>
      <c r="I25" s="49">
        <f t="shared" si="11"/>
        <v>0</v>
      </c>
      <c r="J25" s="49">
        <f t="shared" si="11"/>
        <v>11547</v>
      </c>
      <c r="K25" s="49">
        <f t="shared" si="11"/>
        <v>0</v>
      </c>
      <c r="L25" s="57">
        <f t="shared" si="11"/>
        <v>0</v>
      </c>
    </row>
    <row r="26" spans="1:12" ht="18.75" customHeight="1" thickBot="1">
      <c r="A26" s="1099"/>
      <c r="B26" s="962"/>
      <c r="C26" s="1091" t="s">
        <v>118</v>
      </c>
      <c r="D26" s="1092"/>
      <c r="E26" s="1093"/>
      <c r="F26" s="41">
        <f aca="true" t="shared" si="12" ref="F26:L26">ROUND(F15*1000/$L$2,0)</f>
        <v>65473</v>
      </c>
      <c r="G26" s="41">
        <f t="shared" si="12"/>
        <v>65473</v>
      </c>
      <c r="H26" s="41">
        <f t="shared" si="12"/>
        <v>0</v>
      </c>
      <c r="I26" s="41">
        <f t="shared" si="12"/>
        <v>0</v>
      </c>
      <c r="J26" s="41">
        <f t="shared" si="12"/>
        <v>65473</v>
      </c>
      <c r="K26" s="41">
        <f t="shared" si="12"/>
        <v>0</v>
      </c>
      <c r="L26" s="42">
        <f t="shared" si="12"/>
        <v>0</v>
      </c>
    </row>
    <row r="27" ht="19.5" customHeight="1">
      <c r="A27" s="7" t="s">
        <v>120</v>
      </c>
    </row>
  </sheetData>
  <sheetProtection/>
  <mergeCells count="32">
    <mergeCell ref="K3:K4"/>
    <mergeCell ref="L3:L4"/>
    <mergeCell ref="A1:G1"/>
    <mergeCell ref="A3:E4"/>
    <mergeCell ref="F3:F4"/>
    <mergeCell ref="G3:J3"/>
    <mergeCell ref="A5:A15"/>
    <mergeCell ref="B5:E5"/>
    <mergeCell ref="B6:B15"/>
    <mergeCell ref="C6:E6"/>
    <mergeCell ref="C7:C13"/>
    <mergeCell ref="D7:E7"/>
    <mergeCell ref="D8:D9"/>
    <mergeCell ref="D10:E10"/>
    <mergeCell ref="D11:E11"/>
    <mergeCell ref="D12:E12"/>
    <mergeCell ref="D13:E13"/>
    <mergeCell ref="C14:E14"/>
    <mergeCell ref="C15:E15"/>
    <mergeCell ref="A16:A26"/>
    <mergeCell ref="B16:E16"/>
    <mergeCell ref="B17:B26"/>
    <mergeCell ref="C17:E17"/>
    <mergeCell ref="C18:C24"/>
    <mergeCell ref="D18:E18"/>
    <mergeCell ref="D19:D20"/>
    <mergeCell ref="D21:E21"/>
    <mergeCell ref="C26:E26"/>
    <mergeCell ref="D22:E22"/>
    <mergeCell ref="D23:E23"/>
    <mergeCell ref="D24:E24"/>
    <mergeCell ref="C25:E25"/>
  </mergeCells>
  <printOptions/>
  <pageMargins left="0.75" right="0.75" top="1" bottom="1" header="0.512" footer="0.512"/>
  <pageSetup fitToHeight="1" fitToWidth="1" horizontalDpi="300" verticalDpi="300" orientation="landscape"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L2" sqref="L2"/>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6384" width="9.00390625" style="7" customWidth="1"/>
  </cols>
  <sheetData>
    <row r="1" spans="1:7" ht="21" customHeight="1">
      <c r="A1" s="1112" t="s">
        <v>121</v>
      </c>
      <c r="B1" s="1112"/>
      <c r="C1" s="1112"/>
      <c r="D1" s="1112"/>
      <c r="E1" s="1112"/>
      <c r="F1" s="1112"/>
      <c r="G1" s="1112"/>
    </row>
    <row r="2" spans="11:12" ht="21" customHeight="1" thickBot="1">
      <c r="K2" s="52" t="s">
        <v>122</v>
      </c>
      <c r="L2" s="908">
        <v>65927</v>
      </c>
    </row>
    <row r="3" spans="1:12" ht="16.5" customHeight="1">
      <c r="A3" s="1113" t="s">
        <v>106</v>
      </c>
      <c r="B3" s="1114"/>
      <c r="C3" s="1114"/>
      <c r="D3" s="1114"/>
      <c r="E3" s="1115"/>
      <c r="F3" s="1055" t="s">
        <v>28</v>
      </c>
      <c r="G3" s="1050" t="s">
        <v>93</v>
      </c>
      <c r="H3" s="1051"/>
      <c r="I3" s="1051"/>
      <c r="J3" s="1051"/>
      <c r="K3" s="1055" t="s">
        <v>107</v>
      </c>
      <c r="L3" s="1110" t="s">
        <v>264</v>
      </c>
    </row>
    <row r="4" spans="1:12" ht="33" customHeight="1" thickBot="1">
      <c r="A4" s="1116"/>
      <c r="B4" s="1117"/>
      <c r="C4" s="1117"/>
      <c r="D4" s="1117"/>
      <c r="E4" s="1118"/>
      <c r="F4" s="1109"/>
      <c r="G4" s="53" t="s">
        <v>108</v>
      </c>
      <c r="H4" s="46" t="s">
        <v>268</v>
      </c>
      <c r="I4" s="181" t="s">
        <v>263</v>
      </c>
      <c r="J4" s="182" t="s">
        <v>269</v>
      </c>
      <c r="K4" s="1109"/>
      <c r="L4" s="1111"/>
    </row>
    <row r="5" spans="1:12" ht="18.75" customHeight="1">
      <c r="A5" s="1103" t="s">
        <v>27</v>
      </c>
      <c r="B5" s="1106" t="s">
        <v>109</v>
      </c>
      <c r="C5" s="1107"/>
      <c r="D5" s="1107"/>
      <c r="E5" s="1108"/>
      <c r="F5" s="230">
        <f>G5+K5+L5</f>
        <v>67762179</v>
      </c>
      <c r="G5" s="230">
        <f>SUM(H5:J5)</f>
        <v>64344287</v>
      </c>
      <c r="H5" s="230">
        <f>H6+H14+H15</f>
        <v>12078932</v>
      </c>
      <c r="I5" s="230">
        <f>I6+I14+I15</f>
        <v>32831151</v>
      </c>
      <c r="J5" s="230">
        <f>J6+J14+J15</f>
        <v>19434204</v>
      </c>
      <c r="K5" s="230">
        <f>K6+K14+K15</f>
        <v>3417392</v>
      </c>
      <c r="L5" s="231">
        <f>L6+L14+L15</f>
        <v>500</v>
      </c>
    </row>
    <row r="6" spans="1:12" ht="18.75" customHeight="1">
      <c r="A6" s="1104"/>
      <c r="B6" s="960"/>
      <c r="C6" s="1089" t="s">
        <v>110</v>
      </c>
      <c r="D6" s="1094"/>
      <c r="E6" s="1090"/>
      <c r="F6" s="16">
        <f aca="true" t="shared" si="0" ref="F6:F15">G6+K6+L6</f>
        <v>56328211</v>
      </c>
      <c r="G6" s="16">
        <f aca="true" t="shared" si="1" ref="G6:G15">SUM(H6:J6)</f>
        <v>56310211</v>
      </c>
      <c r="H6" s="16">
        <f>H7+SUM(H10:H13)</f>
        <v>10605023</v>
      </c>
      <c r="I6" s="16">
        <f>I7+SUM(I10:I13)</f>
        <v>32823151</v>
      </c>
      <c r="J6" s="16">
        <f>J7+SUM(J10:J13)</f>
        <v>12882037</v>
      </c>
      <c r="K6" s="16">
        <f>K7+SUM(K10:K13)</f>
        <v>17800</v>
      </c>
      <c r="L6" s="18">
        <f>L7+SUM(L10:L13)</f>
        <v>200</v>
      </c>
    </row>
    <row r="7" spans="1:12" ht="18.75" customHeight="1">
      <c r="A7" s="1104"/>
      <c r="B7" s="961"/>
      <c r="C7" s="960"/>
      <c r="D7" s="1089" t="s">
        <v>111</v>
      </c>
      <c r="E7" s="1090"/>
      <c r="F7" s="16">
        <f t="shared" si="0"/>
        <v>46894787</v>
      </c>
      <c r="G7" s="16">
        <f t="shared" si="1"/>
        <v>46877587</v>
      </c>
      <c r="H7" s="43">
        <v>10375712</v>
      </c>
      <c r="I7" s="43">
        <v>32701026</v>
      </c>
      <c r="J7" s="43">
        <v>3800849</v>
      </c>
      <c r="K7" s="43">
        <v>17200</v>
      </c>
      <c r="L7" s="122">
        <v>0</v>
      </c>
    </row>
    <row r="8" spans="1:12" ht="18.75" customHeight="1">
      <c r="A8" s="1104"/>
      <c r="B8" s="961"/>
      <c r="C8" s="961"/>
      <c r="D8" s="960"/>
      <c r="E8" s="50" t="s">
        <v>280</v>
      </c>
      <c r="F8" s="16">
        <f t="shared" si="0"/>
        <v>30109466</v>
      </c>
      <c r="G8" s="16">
        <f t="shared" si="1"/>
        <v>30109466</v>
      </c>
      <c r="H8" s="43">
        <v>9954554</v>
      </c>
      <c r="I8" s="43">
        <v>19995606</v>
      </c>
      <c r="J8" s="43">
        <v>159306</v>
      </c>
      <c r="K8" s="43">
        <v>0</v>
      </c>
      <c r="L8" s="122">
        <v>0</v>
      </c>
    </row>
    <row r="9" spans="1:12" ht="18.75" customHeight="1">
      <c r="A9" s="1104"/>
      <c r="B9" s="961"/>
      <c r="C9" s="961"/>
      <c r="D9" s="966"/>
      <c r="E9" s="11" t="s">
        <v>112</v>
      </c>
      <c r="F9" s="16">
        <f t="shared" si="0"/>
        <v>16785321</v>
      </c>
      <c r="G9" s="16">
        <f t="shared" si="1"/>
        <v>16768121</v>
      </c>
      <c r="H9" s="43">
        <f>H7-H8</f>
        <v>421158</v>
      </c>
      <c r="I9" s="43">
        <f>I7-I8</f>
        <v>12705420</v>
      </c>
      <c r="J9" s="43">
        <f>J7-J8</f>
        <v>3641543</v>
      </c>
      <c r="K9" s="43">
        <f>K7-K8</f>
        <v>17200</v>
      </c>
      <c r="L9" s="122">
        <f>L7-L8</f>
        <v>0</v>
      </c>
    </row>
    <row r="10" spans="1:12" ht="18.75" customHeight="1">
      <c r="A10" s="1104"/>
      <c r="B10" s="961"/>
      <c r="C10" s="961"/>
      <c r="D10" s="1089" t="s">
        <v>113</v>
      </c>
      <c r="E10" s="1090"/>
      <c r="F10" s="16">
        <f>G10+K10+L10</f>
        <v>1590013</v>
      </c>
      <c r="G10" s="16">
        <f t="shared" si="1"/>
        <v>1589813</v>
      </c>
      <c r="H10" s="43">
        <v>184870</v>
      </c>
      <c r="I10" s="43">
        <v>98375</v>
      </c>
      <c r="J10" s="43">
        <v>1306568</v>
      </c>
      <c r="K10" s="43">
        <v>0</v>
      </c>
      <c r="L10" s="122">
        <v>200</v>
      </c>
    </row>
    <row r="11" spans="1:12" ht="18.75" customHeight="1">
      <c r="A11" s="1104"/>
      <c r="B11" s="961"/>
      <c r="C11" s="961"/>
      <c r="D11" s="1089" t="s">
        <v>114</v>
      </c>
      <c r="E11" s="1090"/>
      <c r="F11" s="16">
        <f t="shared" si="0"/>
        <v>4029125</v>
      </c>
      <c r="G11" s="16">
        <f t="shared" si="1"/>
        <v>4029125</v>
      </c>
      <c r="H11" s="43">
        <v>6281</v>
      </c>
      <c r="I11" s="43">
        <v>8179</v>
      </c>
      <c r="J11" s="43">
        <v>4014665</v>
      </c>
      <c r="K11" s="43">
        <v>0</v>
      </c>
      <c r="L11" s="122">
        <v>0</v>
      </c>
    </row>
    <row r="12" spans="1:12" ht="18.75" customHeight="1">
      <c r="A12" s="1104"/>
      <c r="B12" s="961"/>
      <c r="C12" s="961"/>
      <c r="D12" s="1089" t="s">
        <v>115</v>
      </c>
      <c r="E12" s="1090"/>
      <c r="F12" s="16">
        <f t="shared" si="0"/>
        <v>3613681</v>
      </c>
      <c r="G12" s="16">
        <f t="shared" si="1"/>
        <v>3613081</v>
      </c>
      <c r="H12" s="43">
        <v>38160</v>
      </c>
      <c r="I12" s="43">
        <v>15571</v>
      </c>
      <c r="J12" s="43">
        <v>3559350</v>
      </c>
      <c r="K12" s="43">
        <v>600</v>
      </c>
      <c r="L12" s="122">
        <v>0</v>
      </c>
    </row>
    <row r="13" spans="1:12" ht="18.75" customHeight="1">
      <c r="A13" s="1104"/>
      <c r="B13" s="961"/>
      <c r="C13" s="966"/>
      <c r="D13" s="1089" t="s">
        <v>116</v>
      </c>
      <c r="E13" s="1090"/>
      <c r="F13" s="16">
        <f t="shared" si="0"/>
        <v>200605</v>
      </c>
      <c r="G13" s="16">
        <f t="shared" si="1"/>
        <v>200605</v>
      </c>
      <c r="H13" s="43">
        <v>0</v>
      </c>
      <c r="I13" s="43">
        <v>0</v>
      </c>
      <c r="J13" s="43">
        <v>200605</v>
      </c>
      <c r="K13" s="43">
        <v>0</v>
      </c>
      <c r="L13" s="122">
        <v>0</v>
      </c>
    </row>
    <row r="14" spans="1:12" ht="18.75" customHeight="1">
      <c r="A14" s="1104"/>
      <c r="B14" s="961"/>
      <c r="C14" s="1089" t="s">
        <v>117</v>
      </c>
      <c r="D14" s="1094"/>
      <c r="E14" s="1090"/>
      <c r="F14" s="16">
        <f t="shared" si="0"/>
        <v>7457243</v>
      </c>
      <c r="G14" s="16">
        <f t="shared" si="1"/>
        <v>4057351</v>
      </c>
      <c r="H14" s="43">
        <v>1473909</v>
      </c>
      <c r="I14" s="43">
        <v>8000</v>
      </c>
      <c r="J14" s="43">
        <v>2575442</v>
      </c>
      <c r="K14" s="43">
        <v>3399592</v>
      </c>
      <c r="L14" s="122">
        <v>300</v>
      </c>
    </row>
    <row r="15" spans="1:12" ht="18.75" customHeight="1" thickBot="1">
      <c r="A15" s="1105"/>
      <c r="B15" s="970"/>
      <c r="C15" s="1095" t="s">
        <v>118</v>
      </c>
      <c r="D15" s="1096"/>
      <c r="E15" s="1097"/>
      <c r="F15" s="35">
        <f t="shared" si="0"/>
        <v>3976725</v>
      </c>
      <c r="G15" s="35">
        <f t="shared" si="1"/>
        <v>3976725</v>
      </c>
      <c r="H15" s="123">
        <v>0</v>
      </c>
      <c r="I15" s="123">
        <v>0</v>
      </c>
      <c r="J15" s="123">
        <v>3976725</v>
      </c>
      <c r="K15" s="123">
        <v>0</v>
      </c>
      <c r="L15" s="907">
        <v>0</v>
      </c>
    </row>
    <row r="16" spans="1:12" ht="18.75" customHeight="1" thickTop="1">
      <c r="A16" s="1098" t="s">
        <v>123</v>
      </c>
      <c r="B16" s="1100" t="s">
        <v>109</v>
      </c>
      <c r="C16" s="1101"/>
      <c r="D16" s="1101"/>
      <c r="E16" s="1102"/>
      <c r="F16" s="228">
        <f>ROUND(F5*1000/$L$2,0)</f>
        <v>1027837</v>
      </c>
      <c r="G16" s="228">
        <f aca="true" t="shared" si="2" ref="G16:L16">ROUND(G5*1000/$L$2,0)</f>
        <v>975993</v>
      </c>
      <c r="H16" s="228">
        <f t="shared" si="2"/>
        <v>183217</v>
      </c>
      <c r="I16" s="228">
        <f t="shared" si="2"/>
        <v>497992</v>
      </c>
      <c r="J16" s="228">
        <f t="shared" si="2"/>
        <v>294784</v>
      </c>
      <c r="K16" s="228">
        <f t="shared" si="2"/>
        <v>51836</v>
      </c>
      <c r="L16" s="229">
        <f t="shared" si="2"/>
        <v>8</v>
      </c>
    </row>
    <row r="17" spans="1:12" ht="18.75" customHeight="1">
      <c r="A17" s="1098"/>
      <c r="B17" s="960"/>
      <c r="C17" s="1089" t="s">
        <v>110</v>
      </c>
      <c r="D17" s="1094"/>
      <c r="E17" s="1090"/>
      <c r="F17" s="49">
        <f aca="true" t="shared" si="3" ref="F17:L17">ROUND(F6*1000/$L$2,0)</f>
        <v>854403</v>
      </c>
      <c r="G17" s="49">
        <f t="shared" si="3"/>
        <v>854130</v>
      </c>
      <c r="H17" s="49">
        <f t="shared" si="3"/>
        <v>160860</v>
      </c>
      <c r="I17" s="49">
        <f t="shared" si="3"/>
        <v>497871</v>
      </c>
      <c r="J17" s="49">
        <f t="shared" si="3"/>
        <v>195399</v>
      </c>
      <c r="K17" s="49">
        <f t="shared" si="3"/>
        <v>270</v>
      </c>
      <c r="L17" s="57">
        <f t="shared" si="3"/>
        <v>3</v>
      </c>
    </row>
    <row r="18" spans="1:12" ht="18.75" customHeight="1">
      <c r="A18" s="1098"/>
      <c r="B18" s="961"/>
      <c r="C18" s="960"/>
      <c r="D18" s="1089" t="s">
        <v>111</v>
      </c>
      <c r="E18" s="1090"/>
      <c r="F18" s="49">
        <f aca="true" t="shared" si="4" ref="F18:L18">ROUND(F7*1000/$L$2,0)</f>
        <v>711314</v>
      </c>
      <c r="G18" s="49">
        <f t="shared" si="4"/>
        <v>711053</v>
      </c>
      <c r="H18" s="49">
        <f t="shared" si="4"/>
        <v>157382</v>
      </c>
      <c r="I18" s="49">
        <f t="shared" si="4"/>
        <v>496019</v>
      </c>
      <c r="J18" s="49">
        <f t="shared" si="4"/>
        <v>57652</v>
      </c>
      <c r="K18" s="49">
        <f t="shared" si="4"/>
        <v>261</v>
      </c>
      <c r="L18" s="57">
        <f t="shared" si="4"/>
        <v>0</v>
      </c>
    </row>
    <row r="19" spans="1:12" ht="18.75" customHeight="1">
      <c r="A19" s="1098"/>
      <c r="B19" s="961"/>
      <c r="C19" s="961"/>
      <c r="D19" s="960"/>
      <c r="E19" s="50" t="s">
        <v>281</v>
      </c>
      <c r="F19" s="49">
        <f aca="true" t="shared" si="5" ref="F19:L19">ROUND(F8*1000/$L$2,0)</f>
        <v>456709</v>
      </c>
      <c r="G19" s="49">
        <f t="shared" si="5"/>
        <v>456709</v>
      </c>
      <c r="H19" s="49">
        <f t="shared" si="5"/>
        <v>150994</v>
      </c>
      <c r="I19" s="49">
        <f t="shared" si="5"/>
        <v>303299</v>
      </c>
      <c r="J19" s="49">
        <f t="shared" si="5"/>
        <v>2416</v>
      </c>
      <c r="K19" s="49">
        <f t="shared" si="5"/>
        <v>0</v>
      </c>
      <c r="L19" s="57">
        <f t="shared" si="5"/>
        <v>0</v>
      </c>
    </row>
    <row r="20" spans="1:12" ht="18.75" customHeight="1">
      <c r="A20" s="1098"/>
      <c r="B20" s="961"/>
      <c r="C20" s="961"/>
      <c r="D20" s="966"/>
      <c r="E20" s="11" t="s">
        <v>112</v>
      </c>
      <c r="F20" s="49">
        <f aca="true" t="shared" si="6" ref="F20:L20">ROUND(F9*1000/$L$2,0)</f>
        <v>254605</v>
      </c>
      <c r="G20" s="49">
        <f t="shared" si="6"/>
        <v>254344</v>
      </c>
      <c r="H20" s="49">
        <f t="shared" si="6"/>
        <v>6388</v>
      </c>
      <c r="I20" s="49">
        <f t="shared" si="6"/>
        <v>192720</v>
      </c>
      <c r="J20" s="49">
        <f t="shared" si="6"/>
        <v>55236</v>
      </c>
      <c r="K20" s="49">
        <f t="shared" si="6"/>
        <v>261</v>
      </c>
      <c r="L20" s="57">
        <f t="shared" si="6"/>
        <v>0</v>
      </c>
    </row>
    <row r="21" spans="1:12" ht="18.75" customHeight="1">
      <c r="A21" s="1098"/>
      <c r="B21" s="961"/>
      <c r="C21" s="961"/>
      <c r="D21" s="1089" t="s">
        <v>113</v>
      </c>
      <c r="E21" s="1090"/>
      <c r="F21" s="49">
        <f aca="true" t="shared" si="7" ref="F21:L21">ROUND(F10*1000/$L$2,0)</f>
        <v>24118</v>
      </c>
      <c r="G21" s="49">
        <f t="shared" si="7"/>
        <v>24115</v>
      </c>
      <c r="H21" s="49">
        <f t="shared" si="7"/>
        <v>2804</v>
      </c>
      <c r="I21" s="49">
        <f t="shared" si="7"/>
        <v>1492</v>
      </c>
      <c r="J21" s="49">
        <f t="shared" si="7"/>
        <v>19818</v>
      </c>
      <c r="K21" s="49">
        <f t="shared" si="7"/>
        <v>0</v>
      </c>
      <c r="L21" s="57">
        <f t="shared" si="7"/>
        <v>3</v>
      </c>
    </row>
    <row r="22" spans="1:12" ht="18.75" customHeight="1">
      <c r="A22" s="1098"/>
      <c r="B22" s="961"/>
      <c r="C22" s="961"/>
      <c r="D22" s="1089" t="s">
        <v>114</v>
      </c>
      <c r="E22" s="1090"/>
      <c r="F22" s="49">
        <f aca="true" t="shared" si="8" ref="F22:L22">ROUND(F11*1000/$L$2,0)</f>
        <v>61115</v>
      </c>
      <c r="G22" s="49">
        <f t="shared" si="8"/>
        <v>61115</v>
      </c>
      <c r="H22" s="49">
        <f t="shared" si="8"/>
        <v>95</v>
      </c>
      <c r="I22" s="49">
        <f t="shared" si="8"/>
        <v>124</v>
      </c>
      <c r="J22" s="49">
        <f t="shared" si="8"/>
        <v>60896</v>
      </c>
      <c r="K22" s="49">
        <f t="shared" si="8"/>
        <v>0</v>
      </c>
      <c r="L22" s="57">
        <f t="shared" si="8"/>
        <v>0</v>
      </c>
    </row>
    <row r="23" spans="1:12" ht="18.75" customHeight="1">
      <c r="A23" s="1098"/>
      <c r="B23" s="961"/>
      <c r="C23" s="961"/>
      <c r="D23" s="1089" t="s">
        <v>115</v>
      </c>
      <c r="E23" s="1090"/>
      <c r="F23" s="49">
        <f aca="true" t="shared" si="9" ref="F23:L23">ROUND(F12*1000/$L$2,0)</f>
        <v>54813</v>
      </c>
      <c r="G23" s="49">
        <f t="shared" si="9"/>
        <v>54804</v>
      </c>
      <c r="H23" s="49">
        <f t="shared" si="9"/>
        <v>579</v>
      </c>
      <c r="I23" s="49">
        <f t="shared" si="9"/>
        <v>236</v>
      </c>
      <c r="J23" s="49">
        <f t="shared" si="9"/>
        <v>53989</v>
      </c>
      <c r="K23" s="49">
        <f t="shared" si="9"/>
        <v>9</v>
      </c>
      <c r="L23" s="57">
        <f t="shared" si="9"/>
        <v>0</v>
      </c>
    </row>
    <row r="24" spans="1:12" ht="18.75" customHeight="1">
      <c r="A24" s="1098"/>
      <c r="B24" s="961"/>
      <c r="C24" s="966"/>
      <c r="D24" s="1089" t="s">
        <v>116</v>
      </c>
      <c r="E24" s="1090"/>
      <c r="F24" s="49">
        <f aca="true" t="shared" si="10" ref="F24:L24">ROUND(F13*1000/$L$2,0)</f>
        <v>3043</v>
      </c>
      <c r="G24" s="49">
        <f t="shared" si="10"/>
        <v>3043</v>
      </c>
      <c r="H24" s="49">
        <f t="shared" si="10"/>
        <v>0</v>
      </c>
      <c r="I24" s="49">
        <f t="shared" si="10"/>
        <v>0</v>
      </c>
      <c r="J24" s="49">
        <f t="shared" si="10"/>
        <v>3043</v>
      </c>
      <c r="K24" s="49">
        <f t="shared" si="10"/>
        <v>0</v>
      </c>
      <c r="L24" s="57">
        <f t="shared" si="10"/>
        <v>0</v>
      </c>
    </row>
    <row r="25" spans="1:12" ht="18.75" customHeight="1">
      <c r="A25" s="1098"/>
      <c r="B25" s="961"/>
      <c r="C25" s="1089" t="s">
        <v>117</v>
      </c>
      <c r="D25" s="1094"/>
      <c r="E25" s="1090"/>
      <c r="F25" s="49">
        <f aca="true" t="shared" si="11" ref="F25:L25">ROUND(F14*1000/$L$2,0)</f>
        <v>113114</v>
      </c>
      <c r="G25" s="49">
        <f t="shared" si="11"/>
        <v>61543</v>
      </c>
      <c r="H25" s="49">
        <f t="shared" si="11"/>
        <v>22357</v>
      </c>
      <c r="I25" s="49">
        <f t="shared" si="11"/>
        <v>121</v>
      </c>
      <c r="J25" s="49">
        <f t="shared" si="11"/>
        <v>39065</v>
      </c>
      <c r="K25" s="49">
        <f t="shared" si="11"/>
        <v>51566</v>
      </c>
      <c r="L25" s="57">
        <f t="shared" si="11"/>
        <v>5</v>
      </c>
    </row>
    <row r="26" spans="1:12" ht="18.75" customHeight="1" thickBot="1">
      <c r="A26" s="1099"/>
      <c r="B26" s="962"/>
      <c r="C26" s="1091" t="s">
        <v>118</v>
      </c>
      <c r="D26" s="1092"/>
      <c r="E26" s="1093"/>
      <c r="F26" s="41">
        <f aca="true" t="shared" si="12" ref="F26:L26">ROUND(F15*1000/$L$2,0)</f>
        <v>60320</v>
      </c>
      <c r="G26" s="41">
        <f t="shared" si="12"/>
        <v>60320</v>
      </c>
      <c r="H26" s="41">
        <f t="shared" si="12"/>
        <v>0</v>
      </c>
      <c r="I26" s="41">
        <f t="shared" si="12"/>
        <v>0</v>
      </c>
      <c r="J26" s="41">
        <f t="shared" si="12"/>
        <v>60320</v>
      </c>
      <c r="K26" s="41">
        <f t="shared" si="12"/>
        <v>0</v>
      </c>
      <c r="L26" s="42">
        <f t="shared" si="12"/>
        <v>0</v>
      </c>
    </row>
    <row r="27" ht="19.5" customHeight="1">
      <c r="A27" s="7" t="s">
        <v>120</v>
      </c>
    </row>
  </sheetData>
  <sheetProtection/>
  <mergeCells count="32">
    <mergeCell ref="K3:K4"/>
    <mergeCell ref="L3:L4"/>
    <mergeCell ref="A1:G1"/>
    <mergeCell ref="A3:E4"/>
    <mergeCell ref="F3:F4"/>
    <mergeCell ref="G3:J3"/>
    <mergeCell ref="A5:A15"/>
    <mergeCell ref="B5:E5"/>
    <mergeCell ref="B6:B15"/>
    <mergeCell ref="C6:E6"/>
    <mergeCell ref="C7:C13"/>
    <mergeCell ref="D7:E7"/>
    <mergeCell ref="D8:D9"/>
    <mergeCell ref="D10:E10"/>
    <mergeCell ref="D11:E11"/>
    <mergeCell ref="D12:E12"/>
    <mergeCell ref="D13:E13"/>
    <mergeCell ref="C14:E14"/>
    <mergeCell ref="C15:E15"/>
    <mergeCell ref="A16:A26"/>
    <mergeCell ref="B16:E16"/>
    <mergeCell ref="B17:B26"/>
    <mergeCell ref="C17:E17"/>
    <mergeCell ref="C18:C24"/>
    <mergeCell ref="D18:E18"/>
    <mergeCell ref="D19:D20"/>
    <mergeCell ref="D21:E21"/>
    <mergeCell ref="C26:E26"/>
    <mergeCell ref="D22:E22"/>
    <mergeCell ref="D23:E23"/>
    <mergeCell ref="D24:E24"/>
    <mergeCell ref="C25:E25"/>
  </mergeCells>
  <printOptions/>
  <pageMargins left="0.75" right="0.75" top="1" bottom="1" header="0.512" footer="0.512"/>
  <pageSetup fitToHeight="1" fitToWidth="1"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愛媛県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pref.ehime</dc:creator>
  <cp:keywords/>
  <dc:description/>
  <cp:lastModifiedBy>User</cp:lastModifiedBy>
  <cp:lastPrinted>2023-06-08T04:23:42Z</cp:lastPrinted>
  <dcterms:created xsi:type="dcterms:W3CDTF">2007-11-16T08:17:15Z</dcterms:created>
  <dcterms:modified xsi:type="dcterms:W3CDTF">2023-12-21T00:07:56Z</dcterms:modified>
  <cp:category/>
  <cp:version/>
  <cp:contentType/>
  <cp:contentStatus/>
</cp:coreProperties>
</file>