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55" yWindow="65521" windowWidth="14775" windowHeight="7845" tabRatio="905" activeTab="0"/>
  </bookViews>
  <sheets>
    <sheet name="表紙 " sheetId="1" r:id="rId1"/>
    <sheet name="目次 " sheetId="2" r:id="rId2"/>
    <sheet name="1教育費 " sheetId="3" r:id="rId3"/>
    <sheet name="2職員" sheetId="4" r:id="rId4"/>
    <sheet name="3委員" sheetId="5" r:id="rId5"/>
    <sheet name="4ボランティア" sheetId="6" r:id="rId6"/>
    <sheet name="5公民館運営審議会" sheetId="7" r:id="rId7"/>
    <sheet name="6公民館施設・体制" sheetId="8" r:id="rId8"/>
    <sheet name="7公民館利用状況" sheetId="9" r:id="rId9"/>
    <sheet name="8青年" sheetId="10" r:id="rId10"/>
    <sheet name="9女性" sheetId="11" r:id="rId11"/>
    <sheet name="10成人" sheetId="12" r:id="rId12"/>
    <sheet name="11家庭" sheetId="13" r:id="rId13"/>
    <sheet name="12高齢者" sheetId="14" r:id="rId14"/>
    <sheet name="13青少年" sheetId="15" r:id="rId15"/>
    <sheet name="14子ども会" sheetId="16" r:id="rId16"/>
    <sheet name="15ボーイ " sheetId="17" r:id="rId17"/>
    <sheet name="15ガール " sheetId="18" r:id="rId18"/>
    <sheet name="16青年団" sheetId="19" r:id="rId19"/>
    <sheet name="16（2）青年団以外" sheetId="20" r:id="rId20"/>
    <sheet name="17婦人団体" sheetId="21" r:id="rId21"/>
    <sheet name="18愛護班" sheetId="22" r:id="rId22"/>
    <sheet name="19国公立幼小中ＰＴＡ " sheetId="23" r:id="rId23"/>
    <sheet name="19ＰＴＡ（高校） " sheetId="24" r:id="rId24"/>
    <sheet name="19ＰＴＡ（その他）" sheetId="25" r:id="rId25"/>
    <sheet name="20おやじの会" sheetId="26" r:id="rId26"/>
    <sheet name="21博物館" sheetId="27" r:id="rId27"/>
    <sheet name="22図書館" sheetId="28" r:id="rId28"/>
    <sheet name="Sheet1" sheetId="29" r:id="rId29"/>
  </sheets>
  <externalReferences>
    <externalReference r:id="rId32"/>
  </externalReferences>
  <definedNames>
    <definedName name="_xlnm.Print_Area" localSheetId="12">'11家庭'!$C$3:$W$31</definedName>
    <definedName name="_xlnm.Print_Area" localSheetId="14">'13青少年'!$A$2:$W$28</definedName>
    <definedName name="_xlnm.Print_Area" localSheetId="15">'14子ども会'!$A$1:$K$29</definedName>
    <definedName name="_xlnm.Print_Area" localSheetId="17">'15ガール '!$A$1:$O$10</definedName>
    <definedName name="_xlnm.Print_Area" localSheetId="16">'15ボーイ '!$A$1:$M$41</definedName>
    <definedName name="_xlnm.Print_Area" localSheetId="19">'16（2）青年団以外'!$A$1:$J$73</definedName>
    <definedName name="_xlnm.Print_Area" localSheetId="18">'16青年団'!$A$1:$I$28</definedName>
    <definedName name="_xlnm.Print_Area" localSheetId="20">'17婦人団体'!$A$1:$H$55</definedName>
    <definedName name="_xlnm.Print_Area" localSheetId="21">'18愛護班'!$A$1:$O$29</definedName>
    <definedName name="_xlnm.Print_Area" localSheetId="24">'19ＰＴＡ（その他）'!$A$1:$C$44</definedName>
    <definedName name="_xlnm.Print_Area" localSheetId="23">'19ＰＴＡ（高校） '!$A$1:$F$36</definedName>
    <definedName name="_xlnm.Print_Area" localSheetId="22">'19国公立幼小中ＰＴＡ '!$A$1:$N$29</definedName>
    <definedName name="_xlnm.Print_Area" localSheetId="2">'1教育費 '!$A$1:$W$27</definedName>
    <definedName name="_xlnm.Print_Area" localSheetId="25">'20おやじの会'!$A$1:$E$27</definedName>
    <definedName name="_xlnm.Print_Area" localSheetId="26">'21博物館'!$A$1:$H$77</definedName>
    <definedName name="_xlnm.Print_Area" localSheetId="27">'22図書館'!$A$1:$Q$48</definedName>
    <definedName name="_xlnm.Print_Area" localSheetId="3">'2職員'!$A$1:$P$53</definedName>
    <definedName name="_xlnm.Print_Area" localSheetId="4">'3委員'!$A$1:$P$27</definedName>
    <definedName name="_xlnm.Print_Area" localSheetId="6">'5公民館運営審議会'!$A$3:$U$30</definedName>
    <definedName name="_xlnm.Print_Area" localSheetId="7">'6公民館施設・体制'!$A$3:$Y$30</definedName>
    <definedName name="_xlnm.Print_Area" localSheetId="8">'7公民館利用状況'!$A$1:$AP$50</definedName>
    <definedName name="_xlnm.Print_Area" localSheetId="9">'8青年'!$A$1:$S$27</definedName>
    <definedName name="_xlnm.Print_Area" localSheetId="1">'目次 '!$A$1:$K$26</definedName>
    <definedName name="_xlnm.Print_Titles" localSheetId="12">'11家庭'!$C:$E</definedName>
    <definedName name="_xlnm.Print_Titles" localSheetId="14">'13青少年'!$A:$C</definedName>
    <definedName name="_xlnm.Print_Titles" localSheetId="16">'15ボーイ '!$1:$4</definedName>
    <definedName name="_xlnm.Print_Titles" localSheetId="19">'16（2）青年団以外'!$1:$4</definedName>
    <definedName name="_xlnm.Print_Titles" localSheetId="2">'1教育費 '!$C:$E</definedName>
    <definedName name="_xlnm.Print_Titles" localSheetId="26">'21博物館'!$1:$1</definedName>
    <definedName name="_xlnm.Print_Titles" localSheetId="27">'22図書館'!$1:$2</definedName>
    <definedName name="_xlnm.Print_Titles" localSheetId="3">'2職員'!$A:$C</definedName>
    <definedName name="_xlnm.Print_Titles" localSheetId="4">'3委員'!$A:$C</definedName>
    <definedName name="_xlnm.Print_Titles" localSheetId="6">'5公民館運営審議会'!$A:$C</definedName>
    <definedName name="_xlnm.Print_Titles" localSheetId="7">'6公民館施設・体制'!$A:$C</definedName>
    <definedName name="_xlnm.Print_Titles" localSheetId="8">'7公民館利用状況'!$A:$C</definedName>
    <definedName name="_xlnm.Print_Titles" localSheetId="9">'8青年'!$A:$C</definedName>
    <definedName name="県立高等学校" localSheetId="25">#REF!</definedName>
    <definedName name="県立高等学校">#REF!</definedName>
    <definedName name="国立幼・小・中・高・養護一覧" localSheetId="25">#REF!</definedName>
    <definedName name="国立幼・小・中・高・養護一覧">#REF!</definedName>
    <definedName name="私立高校13" localSheetId="25">#REF!</definedName>
    <definedName name="私立高校13">#REF!</definedName>
    <definedName name="私立中学校" localSheetId="25">#REF!</definedName>
    <definedName name="私立中学校">#REF!</definedName>
    <definedName name="特殊学校" localSheetId="25">#REF!</definedName>
    <definedName name="特殊学校">#REF!</definedName>
  </definedNames>
  <calcPr fullCalcOnLoad="1"/>
</workbook>
</file>

<file path=xl/sharedStrings.xml><?xml version="1.0" encoding="utf-8"?>
<sst xmlns="http://schemas.openxmlformats.org/spreadsheetml/2006/main" count="3053" uniqueCount="1078">
  <si>
    <t>任　期　(年）</t>
  </si>
  <si>
    <t>非常勤</t>
  </si>
  <si>
    <t>常勤</t>
  </si>
  <si>
    <t>市町予算総額Ａ（千円）</t>
  </si>
  <si>
    <t>　</t>
  </si>
  <si>
    <t xml:space="preserve">県　計 </t>
  </si>
  <si>
    <t>　※　委員数（　）は女性委員で内数</t>
  </si>
  <si>
    <t>東　予　管　内</t>
  </si>
  <si>
    <t>南　予　管　内</t>
  </si>
  <si>
    <t>中　予　管　内</t>
  </si>
  <si>
    <t>東　予　管　内</t>
  </si>
  <si>
    <t>D/人口 （円）</t>
  </si>
  <si>
    <t>中　予　管　内</t>
  </si>
  <si>
    <t>　　　　        項目
 市町名</t>
  </si>
  <si>
    <t xml:space="preserve"> </t>
  </si>
  <si>
    <t xml:space="preserve">　　　  　  　項目
市町名 </t>
  </si>
  <si>
    <t>条例の有無
（〇は有）
（各計欄の数
　字は有の数）</t>
  </si>
  <si>
    <t xml:space="preserve"> </t>
  </si>
  <si>
    <t>新居浜市</t>
  </si>
  <si>
    <t>西条市</t>
  </si>
  <si>
    <t>管　内　計</t>
  </si>
  <si>
    <t>今治市</t>
  </si>
  <si>
    <t>松山市</t>
  </si>
  <si>
    <t>伊予市</t>
  </si>
  <si>
    <t>重信町</t>
  </si>
  <si>
    <t>八幡浜市</t>
  </si>
  <si>
    <t>大洲市</t>
  </si>
  <si>
    <t>宇和島市</t>
  </si>
  <si>
    <t>教育費総額Ｂ（千円）</t>
  </si>
  <si>
    <t>社会教育費総額Ｃ（千円）</t>
  </si>
  <si>
    <t>社会教育経常費Ｄ（千円）</t>
  </si>
  <si>
    <t xml:space="preserve">県　　　計 </t>
  </si>
  <si>
    <t>現役員の任期</t>
  </si>
  <si>
    <t>委　　　員　　　報　　　酬</t>
  </si>
  <si>
    <t>備　　考</t>
  </si>
  <si>
    <t>兼</t>
  </si>
  <si>
    <t>別</t>
  </si>
  <si>
    <t>定　　員</t>
  </si>
  <si>
    <t>現　　員</t>
  </si>
  <si>
    <t>四国中央市</t>
  </si>
  <si>
    <t>上島町</t>
  </si>
  <si>
    <t>東温市</t>
  </si>
  <si>
    <t>久万高原町</t>
  </si>
  <si>
    <t>西予市</t>
  </si>
  <si>
    <t>内子町</t>
  </si>
  <si>
    <t>鬼北町</t>
  </si>
  <si>
    <t>愛南町</t>
  </si>
  <si>
    <t>推計人口</t>
  </si>
  <si>
    <t>社会教育主事</t>
  </si>
  <si>
    <t>市町職員</t>
  </si>
  <si>
    <t>任用者数</t>
  </si>
  <si>
    <t>松前町</t>
  </si>
  <si>
    <t>砥部町</t>
  </si>
  <si>
    <t>伊方町</t>
  </si>
  <si>
    <t>松野町</t>
  </si>
  <si>
    <t>その他</t>
  </si>
  <si>
    <t>C/A×１００ （%）</t>
  </si>
  <si>
    <t>C/B×１００ （%）</t>
  </si>
  <si>
    <t>　　　　  　　 項目　
市町名</t>
  </si>
  <si>
    <t>管内計</t>
  </si>
  <si>
    <t>委　　員　　数</t>
  </si>
  <si>
    <t>日額（円）</t>
  </si>
  <si>
    <t>月額（円）</t>
  </si>
  <si>
    <t>年額（円）</t>
  </si>
  <si>
    <t>部長級</t>
  </si>
  <si>
    <t>課長級</t>
  </si>
  <si>
    <t>課長補佐級</t>
  </si>
  <si>
    <t>係長級</t>
  </si>
  <si>
    <t>総　数</t>
  </si>
  <si>
    <t>左記職員のうち</t>
  </si>
  <si>
    <t>社会教育指導員</t>
  </si>
  <si>
    <t>臨時・嘱託職員等</t>
  </si>
  <si>
    <t>有資格者数</t>
  </si>
  <si>
    <t>　項目
市町名</t>
  </si>
  <si>
    <t>開設場所</t>
  </si>
  <si>
    <t>ボランティア育成事業</t>
  </si>
  <si>
    <t>ボランティア派遣事業</t>
  </si>
  <si>
    <t>ボランティア活動事業</t>
  </si>
  <si>
    <t>経費（千円）</t>
  </si>
  <si>
    <t>個人登録者数</t>
  </si>
  <si>
    <t>団体・グループ登録数</t>
  </si>
  <si>
    <t>受入団体・施設登録数</t>
  </si>
  <si>
    <t>研修内容</t>
  </si>
  <si>
    <t>実施　回数</t>
  </si>
  <si>
    <t>参加　者数</t>
  </si>
  <si>
    <t>派遣　回数</t>
  </si>
  <si>
    <t>延派遣者数</t>
  </si>
  <si>
    <t>活動内容</t>
  </si>
  <si>
    <t>延参加者数</t>
  </si>
  <si>
    <t>県費</t>
  </si>
  <si>
    <t>市町費</t>
  </si>
  <si>
    <t>合計</t>
  </si>
  <si>
    <t>東　　予　　管　　内</t>
  </si>
  <si>
    <t>新居浜市</t>
  </si>
  <si>
    <t>学級・講座等</t>
  </si>
  <si>
    <t xml:space="preserve">
レクリエーション・
地域活動等
</t>
  </si>
  <si>
    <t>計</t>
  </si>
  <si>
    <t>西条市</t>
  </si>
  <si>
    <t>レクリエーション・
地域活動等</t>
  </si>
  <si>
    <t xml:space="preserve">計 </t>
  </si>
  <si>
    <t>今治市</t>
  </si>
  <si>
    <t>上島町</t>
  </si>
  <si>
    <t>中予管内</t>
  </si>
  <si>
    <t>松山市</t>
  </si>
  <si>
    <t>伊予市</t>
  </si>
  <si>
    <t>東温市</t>
  </si>
  <si>
    <t>花いっぱい運動</t>
  </si>
  <si>
    <t>図書館ボランティアの育成（絵本の読み聞かせ）</t>
  </si>
  <si>
    <t>松前町</t>
  </si>
  <si>
    <t>砥部町</t>
  </si>
  <si>
    <t>南予管内</t>
  </si>
  <si>
    <t>八幡浜市</t>
  </si>
  <si>
    <t>大洲市</t>
  </si>
  <si>
    <t>西予市</t>
  </si>
  <si>
    <t>西予市教育委員会生涯学習課</t>
  </si>
  <si>
    <t>内子町</t>
  </si>
  <si>
    <t>伊方町</t>
  </si>
  <si>
    <t>宇和島市</t>
  </si>
  <si>
    <t>鬼北町</t>
  </si>
  <si>
    <t>町内花いっぱい運動</t>
  </si>
  <si>
    <t>愛南町</t>
  </si>
  <si>
    <t>中予管内</t>
  </si>
  <si>
    <t>読み聞かせ講習</t>
  </si>
  <si>
    <t>７　公民館運営審議会</t>
  </si>
  <si>
    <t xml:space="preserve">　　　　　　　項目
　市町名 </t>
  </si>
  <si>
    <t>公民館数
（本館）</t>
  </si>
  <si>
    <t>審議会数</t>
  </si>
  <si>
    <t>設　置
条　例
の有無
(有)の数</t>
  </si>
  <si>
    <t>委　　　　員　　　　数</t>
  </si>
  <si>
    <t>任期
（年）</t>
  </si>
  <si>
    <t>定員</t>
  </si>
  <si>
    <t>現員</t>
  </si>
  <si>
    <t>委員の内訳</t>
  </si>
  <si>
    <t>委　員
のうち
女性数
（人）</t>
  </si>
  <si>
    <t>２回
以下</t>
  </si>
  <si>
    <t>３～
　５回</t>
  </si>
  <si>
    <t>６～
　８回</t>
  </si>
  <si>
    <t>９～
　11回</t>
  </si>
  <si>
    <t>12回
以上</t>
  </si>
  <si>
    <t>学校教育
関係（人）</t>
  </si>
  <si>
    <t>社会教育
関係（人）</t>
  </si>
  <si>
    <t>家庭教育
関係（人）</t>
  </si>
  <si>
    <t>学識経験者（人）</t>
  </si>
  <si>
    <t>その他（人）</t>
  </si>
  <si>
    <t>東予管内</t>
  </si>
  <si>
    <t>中予管内</t>
  </si>
  <si>
    <t>南予管内</t>
  </si>
  <si>
    <t>５　公民館施設・体制</t>
  </si>
  <si>
    <t>本　館</t>
  </si>
  <si>
    <t>分　館</t>
  </si>
  <si>
    <t>類似
公民館数</t>
  </si>
  <si>
    <t>館長　（人）</t>
  </si>
  <si>
    <t>館長補佐（副館長）       （人）</t>
  </si>
  <si>
    <t>その他　（人）</t>
  </si>
  <si>
    <t>中　央
公民館数
（館）</t>
  </si>
  <si>
    <t>地　区
公民館数
（館）</t>
  </si>
  <si>
    <t>条例設置
有</t>
  </si>
  <si>
    <t>条例設置
無</t>
  </si>
  <si>
    <t>総数</t>
  </si>
  <si>
    <t>専　任</t>
  </si>
  <si>
    <t>兼　任</t>
  </si>
  <si>
    <t>社会教育
主事有
資格者数</t>
  </si>
  <si>
    <t>専　任</t>
  </si>
  <si>
    <t>常　勤</t>
  </si>
  <si>
    <t xml:space="preserve">　　　　　　項目
　市町名 </t>
  </si>
  <si>
    <t>館数
（本館）</t>
  </si>
  <si>
    <t>全利用状況</t>
  </si>
  <si>
    <t>主　催　事　業</t>
  </si>
  <si>
    <t>主催事業以外の利用団体数及び人数</t>
  </si>
  <si>
    <t>公民館報
発行回数</t>
  </si>
  <si>
    <t>延利用
人　数</t>
  </si>
  <si>
    <t>利用率</t>
  </si>
  <si>
    <t>参加
延人数</t>
  </si>
  <si>
    <t>参加率</t>
  </si>
  <si>
    <t>総　計</t>
  </si>
  <si>
    <t>家庭教育
支援事業</t>
  </si>
  <si>
    <t>ボランティア
活動事業</t>
  </si>
  <si>
    <t>体験活動
事　業</t>
  </si>
  <si>
    <t>学校・家庭
連携事業</t>
  </si>
  <si>
    <t>少年対象</t>
  </si>
  <si>
    <t>青年対象</t>
  </si>
  <si>
    <t>成人男性対象</t>
  </si>
  <si>
    <t>婦人対象</t>
  </si>
  <si>
    <t>高齢者対象</t>
  </si>
  <si>
    <t>共通
その他</t>
  </si>
  <si>
    <t>事業</t>
  </si>
  <si>
    <t>団</t>
  </si>
  <si>
    <t>回</t>
  </si>
  <si>
    <t>人</t>
  </si>
  <si>
    <t>　　
　　　　　項　目
市町名</t>
  </si>
  <si>
    <t>回数</t>
  </si>
  <si>
    <t>時間</t>
  </si>
  <si>
    <t>男</t>
  </si>
  <si>
    <t>女</t>
  </si>
  <si>
    <t>県　　　計</t>
  </si>
  <si>
    <t>東予管内</t>
  </si>
  <si>
    <t>管内計</t>
  </si>
  <si>
    <t>中予管内</t>
  </si>
  <si>
    <t>南予管内</t>
  </si>
  <si>
    <t>　　　
　　　　　項　目
 市町名</t>
  </si>
  <si>
    <t>学級数（回数）</t>
  </si>
  <si>
    <t>学習時間</t>
  </si>
  <si>
    <t>（延べ）</t>
  </si>
  <si>
    <t>県　　　　計</t>
  </si>
  <si>
    <t>東予
管
内</t>
  </si>
  <si>
    <t>中予
管
内</t>
  </si>
  <si>
    <t>南予
管
内</t>
  </si>
  <si>
    <t>　　　
　　　項　目
            市町名</t>
  </si>
  <si>
    <t>県　計</t>
  </si>
  <si>
    <t>中予
管
内</t>
  </si>
  <si>
    <t>　　       項　目
市町名</t>
  </si>
  <si>
    <t>地域
婦人会数</t>
  </si>
  <si>
    <t>市町助成費
（千円）</t>
  </si>
  <si>
    <t>特色ある活動</t>
  </si>
  <si>
    <t>最低</t>
  </si>
  <si>
    <t>最高</t>
  </si>
  <si>
    <t>東予管内</t>
  </si>
  <si>
    <t>該当なし</t>
  </si>
  <si>
    <t>管 内 計</t>
  </si>
  <si>
    <t>環境学習会、ふれあい郵便、女相撲</t>
  </si>
  <si>
    <t>　　  項　目
市町名</t>
  </si>
  <si>
    <t>生活改善活動</t>
  </si>
  <si>
    <t>19　PTAの状況</t>
  </si>
  <si>
    <t>　　　項　目
市町名</t>
  </si>
  <si>
    <t>幼小学校</t>
  </si>
  <si>
    <t>小中学校</t>
  </si>
  <si>
    <t>小学校</t>
  </si>
  <si>
    <t>中学校</t>
  </si>
  <si>
    <t>単位PTA数</t>
  </si>
  <si>
    <t>会員数</t>
  </si>
  <si>
    <t>県　　計</t>
  </si>
  <si>
    <t>学　　　　　校　　　　　名</t>
  </si>
  <si>
    <t>会　員　数</t>
  </si>
  <si>
    <t>今治精華高等学校</t>
  </si>
  <si>
    <t>今治明徳高等学校</t>
  </si>
  <si>
    <t>今治明徳高等学校矢田分校</t>
  </si>
  <si>
    <t>今治明徳中学校</t>
  </si>
  <si>
    <t>新田高等学校</t>
  </si>
  <si>
    <t>新田青雲中等教育学校</t>
  </si>
  <si>
    <t>松山城南高等学校</t>
  </si>
  <si>
    <t>愛光中高等学校</t>
  </si>
  <si>
    <t>松山聖陵高等学校</t>
  </si>
  <si>
    <t>松山東雲中学校</t>
  </si>
  <si>
    <t>松山東雲高等学校</t>
  </si>
  <si>
    <t>済美高等学校</t>
  </si>
  <si>
    <t>済美平成中等教育学校</t>
  </si>
  <si>
    <t>帝京第五高等学校</t>
  </si>
  <si>
    <t>帝京冨士中学校</t>
  </si>
  <si>
    <t>帝京冨士高等学校</t>
  </si>
  <si>
    <t>松山盲学校</t>
  </si>
  <si>
    <t>松山聾学校</t>
  </si>
  <si>
    <t>今治特別支援学校</t>
  </si>
  <si>
    <t>しげのぶ特別支援学校</t>
  </si>
  <si>
    <t>宇和特別支援学校</t>
  </si>
  <si>
    <t>会　　員　　数</t>
  </si>
  <si>
    <t>単位ＰＴＡ数</t>
  </si>
  <si>
    <t>県立高等学校ＰＴＡ</t>
  </si>
  <si>
    <t>特別支援学校ＰＴＡ</t>
  </si>
  <si>
    <t>私立中学高等学校保護者会</t>
  </si>
  <si>
    <t>　　　　　           項目
　 市町名</t>
  </si>
  <si>
    <t>新居浜市</t>
  </si>
  <si>
    <t>四国中央市</t>
  </si>
  <si>
    <t>久万高原町</t>
  </si>
  <si>
    <t>松前町</t>
  </si>
  <si>
    <t>内子町</t>
  </si>
  <si>
    <t>松野町</t>
  </si>
  <si>
    <t>鬼北町</t>
  </si>
  <si>
    <r>
      <t>１３　青少年地域活動の状況</t>
    </r>
    <r>
      <rPr>
        <sz val="11"/>
        <rFont val="ＭＳ 明朝"/>
        <family val="1"/>
      </rPr>
      <t>（宿泊を伴う活動および年間複数回実施する活動）</t>
    </r>
  </si>
  <si>
    <t>項　目</t>
  </si>
  <si>
    <t>ｽﾎﾟｰﾂ・ﾚｸﾘｴｰｼｮﾝ活動</t>
  </si>
  <si>
    <t>文化活動</t>
  </si>
  <si>
    <t>自然体験活動</t>
  </si>
  <si>
    <t>その他の活動</t>
  </si>
  <si>
    <t>合  計</t>
  </si>
  <si>
    <t>　　市町名</t>
  </si>
  <si>
    <t>事業数</t>
  </si>
  <si>
    <t>参加人数</t>
  </si>
  <si>
    <t>事業数</t>
  </si>
  <si>
    <t>上島町</t>
  </si>
  <si>
    <t>久万高原町</t>
  </si>
  <si>
    <t>西予市</t>
  </si>
  <si>
    <t>鬼北町</t>
  </si>
  <si>
    <t>項　目　</t>
  </si>
  <si>
    <t>子　　　　　 ど　　　　　 も 　　　　　会　　　　　 等</t>
  </si>
  <si>
    <t>合計</t>
  </si>
  <si>
    <t>小学生だけで組織している</t>
  </si>
  <si>
    <t>小・中合同で組織している</t>
  </si>
  <si>
    <t>中学生だけで組織している</t>
  </si>
  <si>
    <t>子ども会等の数</t>
  </si>
  <si>
    <t>会員数</t>
  </si>
  <si>
    <t>子ども会等の　総数</t>
  </si>
  <si>
    <t>子ども会等　　　　　会員総数</t>
  </si>
  <si>
    <t>　市町名</t>
  </si>
  <si>
    <t>中　予　管　内</t>
  </si>
  <si>
    <t>東温市</t>
  </si>
  <si>
    <t>南　予　管　内</t>
  </si>
  <si>
    <t>松野町</t>
  </si>
  <si>
    <t>鬼北町</t>
  </si>
  <si>
    <t>15　目的少年団体の状況</t>
  </si>
  <si>
    <t xml:space="preserve">                    項目　　      　                            市町名</t>
  </si>
  <si>
    <t>団　　名</t>
  </si>
  <si>
    <r>
      <t>隊・班</t>
    </r>
    <r>
      <rPr>
        <sz val="11"/>
        <rFont val="ＭＳ Ｐ明朝"/>
        <family val="1"/>
      </rPr>
      <t xml:space="preserve"> </t>
    </r>
    <r>
      <rPr>
        <sz val="9"/>
        <rFont val="ＭＳ Ｐ明朝"/>
        <family val="1"/>
      </rPr>
      <t>数</t>
    </r>
  </si>
  <si>
    <t>スカウト数</t>
  </si>
  <si>
    <t>隊種</t>
  </si>
  <si>
    <t>成人指導者数</t>
  </si>
  <si>
    <t>団委員数</t>
  </si>
  <si>
    <t>ビーバー隊</t>
  </si>
  <si>
    <t>カブ隊</t>
  </si>
  <si>
    <t>ボーイ隊</t>
  </si>
  <si>
    <t>ベンチャー隊</t>
  </si>
  <si>
    <t>ローバー隊</t>
  </si>
  <si>
    <t>西条第11団</t>
  </si>
  <si>
    <t>西条第12団</t>
  </si>
  <si>
    <t>四国中央第２団</t>
  </si>
  <si>
    <t>松前第１団</t>
  </si>
  <si>
    <t>砥部第１団</t>
  </si>
  <si>
    <t>南 予 管 内</t>
  </si>
  <si>
    <t>八幡浜第１団</t>
  </si>
  <si>
    <t>大洲市</t>
  </si>
  <si>
    <t>大洲第１団</t>
  </si>
  <si>
    <t>西予第１団</t>
  </si>
  <si>
    <t>内子第１団</t>
  </si>
  <si>
    <t>　　　　　　　　　　　項目　　 　市町名</t>
  </si>
  <si>
    <t>団　名</t>
  </si>
  <si>
    <t>部門数</t>
  </si>
  <si>
    <t>総　　　数</t>
  </si>
  <si>
    <t>テンダー部門</t>
  </si>
  <si>
    <t>ブラウニー部門</t>
  </si>
  <si>
    <t>第６団</t>
  </si>
  <si>
    <t>第１団</t>
  </si>
  <si>
    <t>第19団</t>
  </si>
  <si>
    <t>第14団</t>
  </si>
  <si>
    <t>16　青年団体の状況</t>
  </si>
  <si>
    <t>（１）地域青年団</t>
  </si>
  <si>
    <t>　　　　　 　　　 項目　
　市町名</t>
  </si>
  <si>
    <t>単　位</t>
  </si>
  <si>
    <t>団　　　員</t>
  </si>
  <si>
    <t>市町助成金</t>
  </si>
  <si>
    <t>団体数</t>
  </si>
  <si>
    <t>最低～最高(円）</t>
  </si>
  <si>
    <t>合計　（円）</t>
  </si>
  <si>
    <t>県計</t>
  </si>
  <si>
    <t>内子町</t>
  </si>
  <si>
    <t>伊方町</t>
  </si>
  <si>
    <t>　　   項目      
市町名</t>
  </si>
  <si>
    <t>単　位</t>
  </si>
  <si>
    <t>年会費（１人）</t>
  </si>
  <si>
    <t>団体数</t>
  </si>
  <si>
    <t>（円）</t>
  </si>
  <si>
    <t>上島町商工会青年部生名支部</t>
  </si>
  <si>
    <t>弓削漁業協同組合青年部</t>
  </si>
  <si>
    <t>東温市青年農業者協議会</t>
  </si>
  <si>
    <t>東温市商工会青年部</t>
  </si>
  <si>
    <t>松前町青年農業者協議会</t>
  </si>
  <si>
    <t>松前町商工会青年部</t>
  </si>
  <si>
    <t>砥部町青年農業者協議会</t>
  </si>
  <si>
    <t>陶和会</t>
  </si>
  <si>
    <t>八幡浜市青年農業者連絡協議会</t>
  </si>
  <si>
    <t>八幡浜市青年会議所</t>
  </si>
  <si>
    <t>明青会</t>
  </si>
  <si>
    <t>惣川みどりの伝習所実行委員会</t>
  </si>
  <si>
    <t>遊子川新泉組</t>
  </si>
  <si>
    <t>松野町まちづくり青年会議</t>
  </si>
  <si>
    <t>菊川青年部</t>
  </si>
  <si>
    <t>単位愛護班数</t>
  </si>
  <si>
    <t xml:space="preserve">  愛護班に所属している
  世帯数</t>
  </si>
  <si>
    <t>班　員　数</t>
  </si>
  <si>
    <t>活動内容（愛護班数：複数回答）</t>
  </si>
  <si>
    <t>　項目</t>
  </si>
  <si>
    <t>班長の区分</t>
  </si>
  <si>
    <t>ＰＴＡ会員</t>
  </si>
  <si>
    <t>ＰＴＡ会員以外</t>
  </si>
  <si>
    <t>班員の学習活動</t>
  </si>
  <si>
    <t>不良化防止活動</t>
  </si>
  <si>
    <t>事故防止活動</t>
  </si>
  <si>
    <t>環境整備活動</t>
  </si>
  <si>
    <t>子ども会育成活動</t>
  </si>
  <si>
    <t>レクリエーション活動</t>
  </si>
  <si>
    <t>　市町名</t>
  </si>
  <si>
    <t>(1)登録博物館</t>
  </si>
  <si>
    <t>施 設 名</t>
  </si>
  <si>
    <t>区　分</t>
  </si>
  <si>
    <t>主 な 資 料</t>
  </si>
  <si>
    <t>〒　所 在 地</t>
  </si>
  <si>
    <t>電 話</t>
  </si>
  <si>
    <t>休 館 日</t>
  </si>
  <si>
    <t>学芸員又は専門職員の数</t>
  </si>
  <si>
    <t>愛媛県総合科学博物館</t>
  </si>
  <si>
    <t>（県立）</t>
  </si>
  <si>
    <t>動植物資料、地学資料、</t>
  </si>
  <si>
    <t>科学</t>
  </si>
  <si>
    <t>新居浜市大生院2133-2</t>
  </si>
  <si>
    <t>愛媛県歴史文化博物館</t>
  </si>
  <si>
    <t>歴史資料、民俗資料、</t>
  </si>
  <si>
    <t>考古資料など</t>
  </si>
  <si>
    <t>愛媛県美術館</t>
  </si>
  <si>
    <t>近代美術資料など</t>
  </si>
  <si>
    <t>美術</t>
  </si>
  <si>
    <t>松山市堀之内</t>
  </si>
  <si>
    <t>宇和島市立伊達博物館</t>
  </si>
  <si>
    <t>（市立）</t>
  </si>
  <si>
    <t>毎週月曜日（ただし、月曜日が祝祭日の場合は翌日）</t>
  </si>
  <si>
    <t>歴史</t>
  </si>
  <si>
    <t>美術工芸品等</t>
  </si>
  <si>
    <t>宇和島市御殿町9-14</t>
  </si>
  <si>
    <t>大洲市立博物館</t>
  </si>
  <si>
    <t>三瀬諸淵関係資料など</t>
  </si>
  <si>
    <t>総合</t>
  </si>
  <si>
    <t>大洲市中村618-1</t>
  </si>
  <si>
    <t>年末年始</t>
  </si>
  <si>
    <t>松山市立子規記念博物館</t>
  </si>
  <si>
    <t>松山市道後公園1-30</t>
  </si>
  <si>
    <t>今治市村上水軍博物館</t>
  </si>
  <si>
    <t>（市立）</t>
  </si>
  <si>
    <t>能島村上家の資料等</t>
  </si>
  <si>
    <t>月曜日</t>
  </si>
  <si>
    <t>今治市宮窪町宮窪1285</t>
  </si>
  <si>
    <t>(祝日の場合は翌日)</t>
  </si>
  <si>
    <t>伊方町町見郷土館</t>
  </si>
  <si>
    <t>（町立）</t>
  </si>
  <si>
    <t>町内の様々な民俗資料等</t>
  </si>
  <si>
    <t>西宇和郡伊方町二見</t>
  </si>
  <si>
    <t>祝日の翌日</t>
  </si>
  <si>
    <t>甲813番地1</t>
  </si>
  <si>
    <t>年末年始等</t>
  </si>
  <si>
    <t>東温市立歴史民俗資料館</t>
  </si>
  <si>
    <t>考古資料</t>
  </si>
  <si>
    <t>歴史・民俗資料</t>
  </si>
  <si>
    <t>文書資料</t>
  </si>
  <si>
    <t>愛媛文華館</t>
  </si>
  <si>
    <t>（私立）</t>
  </si>
  <si>
    <t>中国・朝鮮陶器、茶器、</t>
  </si>
  <si>
    <t>月曜日、祝日の翌日</t>
  </si>
  <si>
    <t>日本陶器、書画、刀剣</t>
  </si>
  <si>
    <t>今治市黄金町2-6-2</t>
  </si>
  <si>
    <t>8月14日～16日</t>
  </si>
  <si>
    <t>12月29日～1月3日</t>
  </si>
  <si>
    <t>大山祗神社宝物館</t>
  </si>
  <si>
    <t>甲冑、刀剣、文書、工</t>
  </si>
  <si>
    <t>年中無休</t>
  </si>
  <si>
    <t>歴史・美術</t>
  </si>
  <si>
    <t>芸品など</t>
  </si>
  <si>
    <t>今治市大三島町宮浦</t>
  </si>
  <si>
    <t>大三島海事博物館</t>
  </si>
  <si>
    <t>葉山丸関係資料、水軍</t>
  </si>
  <si>
    <t>年中無休</t>
  </si>
  <si>
    <t>歴史・動植</t>
  </si>
  <si>
    <t>関係資料、海事資料、</t>
  </si>
  <si>
    <t>物</t>
  </si>
  <si>
    <t>動植物資料</t>
  </si>
  <si>
    <t>愛媛民芸館</t>
  </si>
  <si>
    <t>各地の焼物、布類、竹</t>
  </si>
  <si>
    <t>毎週月曜日、祝日の翌日</t>
  </si>
  <si>
    <t>美術・工芸</t>
  </si>
  <si>
    <t>工品、木工品など</t>
  </si>
  <si>
    <t>12月29日～1月3日</t>
  </si>
  <si>
    <t>伊丹十三記念館</t>
  </si>
  <si>
    <t>火曜日</t>
  </si>
  <si>
    <t>6番10号</t>
  </si>
  <si>
    <t>(2)博物館相当施設</t>
  </si>
  <si>
    <t>愛媛県立とべ動物園</t>
  </si>
  <si>
    <t>哺乳類、鳥類、爬虫類、</t>
  </si>
  <si>
    <t>両生類など</t>
  </si>
  <si>
    <t>伊予郡砥部町上原町</t>
  </si>
  <si>
    <t>(祝日の場合は開園)</t>
  </si>
  <si>
    <t>新居浜市広瀬歴史記念館</t>
  </si>
  <si>
    <t>広瀬宰平および</t>
  </si>
  <si>
    <t>月曜日、国民の祝日の</t>
  </si>
  <si>
    <t>翌日（日曜日を除く）</t>
  </si>
  <si>
    <t>10番42号</t>
  </si>
  <si>
    <t>西条市立西条郷土博物館</t>
  </si>
  <si>
    <t>西条市明屋敷237番地1</t>
  </si>
  <si>
    <t>松山市一番町3-20</t>
  </si>
  <si>
    <t>久万高原町立久万美術館</t>
  </si>
  <si>
    <t>（町立）</t>
  </si>
  <si>
    <t>日本近代洋画</t>
  </si>
  <si>
    <t>久万高原町菅生2番耕地</t>
  </si>
  <si>
    <t>1442番地7</t>
  </si>
  <si>
    <t>特に定める日</t>
  </si>
  <si>
    <t>高畠華宵大正ロマン館</t>
  </si>
  <si>
    <t>（私立）</t>
  </si>
  <si>
    <t>東温市下林丙654－1</t>
  </si>
  <si>
    <t>11　家庭教育学級･講座開設状況</t>
  </si>
  <si>
    <t>　　　　　　　　　項目
　　市町名</t>
  </si>
  <si>
    <t>学習
時間</t>
  </si>
  <si>
    <t>図 書 館 名</t>
  </si>
  <si>
    <t>　司 書</t>
  </si>
  <si>
    <t>　司書補</t>
  </si>
  <si>
    <t>　その他</t>
  </si>
  <si>
    <t>　　計</t>
  </si>
  <si>
    <t>総　数</t>
  </si>
  <si>
    <t>う  ち
児童用</t>
  </si>
  <si>
    <t>う ち
郷 土
資 料</t>
  </si>
  <si>
    <t>開　架
冊　数</t>
  </si>
  <si>
    <t>う ち
寄 贈</t>
  </si>
  <si>
    <t>愛媛県立図書館</t>
  </si>
  <si>
    <t>松山市立中央図書館</t>
  </si>
  <si>
    <t>松山市立三津浜図書館</t>
  </si>
  <si>
    <t>松山市立北条図書館</t>
  </si>
  <si>
    <t>松山市立中島図書館</t>
  </si>
  <si>
    <t>今治市立中央図書館</t>
  </si>
  <si>
    <t>今治市立波方図書館</t>
  </si>
  <si>
    <t>今治市立大西図書館</t>
  </si>
  <si>
    <t>今治市立大三島図書館</t>
  </si>
  <si>
    <t>宇和島市立中央図書館</t>
  </si>
  <si>
    <t>八幡浜市立市民図書館</t>
  </si>
  <si>
    <t>八幡浜市立保内図書館</t>
  </si>
  <si>
    <t>西条市立西条図書館</t>
  </si>
  <si>
    <t>西条市立東予図書館</t>
  </si>
  <si>
    <t>西条市立丹原図書館</t>
  </si>
  <si>
    <t>西条市立小松温芳図書館</t>
  </si>
  <si>
    <t>大洲市立図書館</t>
  </si>
  <si>
    <t>伊予市立図書館</t>
  </si>
  <si>
    <t>四国中央市川之江図書館</t>
  </si>
  <si>
    <t>四国中央市三島図書館</t>
  </si>
  <si>
    <t>四国中央市土居図書館</t>
  </si>
  <si>
    <t>東温市立図書館</t>
  </si>
  <si>
    <t>久万高原町立図書館</t>
  </si>
  <si>
    <t>松前町ふるさとライブラリー</t>
  </si>
  <si>
    <t>砥部町立図書館</t>
  </si>
  <si>
    <t>内子町図書情報館</t>
  </si>
  <si>
    <t>伊方町立図書館</t>
  </si>
  <si>
    <t>Ｃ/人口（円）</t>
  </si>
  <si>
    <t>愛　媛　県　教　育　委　員　会</t>
  </si>
  <si>
    <t>目　　　　　　　　次</t>
  </si>
  <si>
    <t xml:space="preserve"> 1　 市町社会教育費</t>
  </si>
  <si>
    <t xml:space="preserve"> 2　 市町社会教育関係職員</t>
  </si>
  <si>
    <t xml:space="preserve"> 3　 市町社会教育委員</t>
  </si>
  <si>
    <t xml:space="preserve"> 4　 ボランティアバンク設置・ボランティア活動状況</t>
  </si>
  <si>
    <t xml:space="preserve"> 5　 公民館運営審議会</t>
  </si>
  <si>
    <t xml:space="preserve"> 6　 公民館施設・体制</t>
  </si>
  <si>
    <t xml:space="preserve"> 7　 公民館利用状況</t>
  </si>
  <si>
    <t xml:space="preserve"> 8　 青年を対象とした学級・講座開設状況</t>
  </si>
  <si>
    <t xml:space="preserve"> 9　 女性（婦人）を対象とした学級・講座開設状況</t>
  </si>
  <si>
    <t>21　県内の登録博物館及び博物館相当施設</t>
  </si>
  <si>
    <t>〒792-0060</t>
  </si>
  <si>
    <t>0897</t>
  </si>
  <si>
    <t>(40)4100</t>
  </si>
  <si>
    <t>〒797-8511</t>
  </si>
  <si>
    <t>0894</t>
  </si>
  <si>
    <t>(62)6222</t>
  </si>
  <si>
    <t>〒790-0007</t>
  </si>
  <si>
    <t>089</t>
  </si>
  <si>
    <t>(932)0010</t>
  </si>
  <si>
    <t>12月29日～1月3日</t>
  </si>
  <si>
    <t>〒798-0061</t>
  </si>
  <si>
    <t>0895</t>
  </si>
  <si>
    <t>(22)7776</t>
  </si>
  <si>
    <t>〒795-0054</t>
  </si>
  <si>
    <t>0893</t>
  </si>
  <si>
    <t>(24)4107</t>
  </si>
  <si>
    <t>〒790-0857</t>
  </si>
  <si>
    <t>(931)5566</t>
  </si>
  <si>
    <t>〒794-2203</t>
  </si>
  <si>
    <t>0897</t>
  </si>
  <si>
    <t>(74)1065</t>
  </si>
  <si>
    <t>〒796-0421</t>
  </si>
  <si>
    <t>(39)0241</t>
  </si>
  <si>
    <t>〒791-0211</t>
  </si>
  <si>
    <t>東温市見奈良509-3</t>
  </si>
  <si>
    <t>(964)0701</t>
  </si>
  <si>
    <t>〒794-0037</t>
  </si>
  <si>
    <t>0898</t>
  </si>
  <si>
    <t>(32)1063</t>
  </si>
  <si>
    <t>など</t>
  </si>
  <si>
    <t>〒794-1304</t>
  </si>
  <si>
    <t>0897</t>
  </si>
  <si>
    <t>(82)0032</t>
  </si>
  <si>
    <t>　　</t>
  </si>
  <si>
    <t>〒793-0023</t>
  </si>
  <si>
    <t>(56)2110</t>
  </si>
  <si>
    <t>〒790-0932</t>
  </si>
  <si>
    <t>松山市東石井一丁目</t>
  </si>
  <si>
    <t>(969)1313</t>
  </si>
  <si>
    <t>〒791-2191</t>
  </si>
  <si>
    <t>089</t>
  </si>
  <si>
    <t>(962)6000</t>
  </si>
  <si>
    <t>12月29日～1月1日</t>
  </si>
  <si>
    <t>〒792-0046</t>
  </si>
  <si>
    <t>別子銅山に関する資料</t>
  </si>
  <si>
    <t>(40)6333</t>
  </si>
  <si>
    <t>(56)3199</t>
  </si>
  <si>
    <t>〒790-0001</t>
  </si>
  <si>
    <t>089</t>
  </si>
  <si>
    <t>(915)2600</t>
  </si>
  <si>
    <t>〒791-1205</t>
  </si>
  <si>
    <t>0892</t>
  </si>
  <si>
    <t>(21)2881</t>
  </si>
  <si>
    <t>年末年始</t>
  </si>
  <si>
    <t>近代美術資料</t>
  </si>
  <si>
    <t>〒791-0222</t>
  </si>
  <si>
    <t>歴史資料</t>
  </si>
  <si>
    <t>(964)7077</t>
  </si>
  <si>
    <t>-</t>
  </si>
  <si>
    <t>その他（含福祉関係）</t>
  </si>
  <si>
    <t>　</t>
  </si>
  <si>
    <t xml:space="preserve"> </t>
  </si>
  <si>
    <t>今 治 市</t>
  </si>
  <si>
    <t xml:space="preserve"> </t>
  </si>
  <si>
    <t>管 内 計</t>
  </si>
  <si>
    <t>　</t>
  </si>
  <si>
    <t>（ｲ+ｴ+ｶ）</t>
  </si>
  <si>
    <t>（ｱ+ｳ+ｵ）</t>
  </si>
  <si>
    <t>カ</t>
  </si>
  <si>
    <t>オ</t>
  </si>
  <si>
    <t>エ</t>
  </si>
  <si>
    <t>ウ</t>
  </si>
  <si>
    <t>イ</t>
  </si>
  <si>
    <t>ア</t>
  </si>
  <si>
    <t>宇和島市</t>
  </si>
  <si>
    <t>今治第11団</t>
  </si>
  <si>
    <t>今治第８団</t>
  </si>
  <si>
    <t>今治第５団</t>
  </si>
  <si>
    <t>今治第３団</t>
  </si>
  <si>
    <t>四国中央市</t>
  </si>
  <si>
    <t>　（１）ボーイスカウト</t>
  </si>
  <si>
    <t>リーダー</t>
  </si>
  <si>
    <t>レンジャー部門</t>
  </si>
  <si>
    <t>シニア部門</t>
  </si>
  <si>
    <t>ジュニア部門</t>
  </si>
  <si>
    <t>（２）ガールスカウト</t>
  </si>
  <si>
    <t>0～6,000</t>
  </si>
  <si>
    <t>0～1,000</t>
  </si>
  <si>
    <t>　</t>
  </si>
  <si>
    <t>0～120,000</t>
  </si>
  <si>
    <t>ＹＹＣ</t>
  </si>
  <si>
    <t>0～120,000</t>
  </si>
  <si>
    <t>　</t>
  </si>
  <si>
    <t>計</t>
  </si>
  <si>
    <t>女</t>
  </si>
  <si>
    <t>男</t>
  </si>
  <si>
    <t>名　　　　　称</t>
  </si>
  <si>
    <t>地域青年団以外の組織団体</t>
  </si>
  <si>
    <t>(2)</t>
  </si>
  <si>
    <t>伊予市</t>
  </si>
  <si>
    <t>学校名</t>
  </si>
  <si>
    <t>ＰＴＡ会員数</t>
  </si>
  <si>
    <t>全日制</t>
  </si>
  <si>
    <t>定時制</t>
  </si>
  <si>
    <t>全日制</t>
  </si>
  <si>
    <t>川之江</t>
  </si>
  <si>
    <t>東温</t>
  </si>
  <si>
    <t>三島</t>
  </si>
  <si>
    <t>上浮穴</t>
  </si>
  <si>
    <t>土居</t>
  </si>
  <si>
    <t>小田</t>
  </si>
  <si>
    <t>新居浜東</t>
  </si>
  <si>
    <t>伊予農業</t>
  </si>
  <si>
    <t>新居浜西</t>
  </si>
  <si>
    <t>伊予</t>
  </si>
  <si>
    <t>新居浜南</t>
  </si>
  <si>
    <t>大洲</t>
  </si>
  <si>
    <t>新居浜工業</t>
  </si>
  <si>
    <t>(肱川分校)</t>
  </si>
  <si>
    <t>新居浜商業</t>
  </si>
  <si>
    <t>大洲農業</t>
  </si>
  <si>
    <t>西条</t>
  </si>
  <si>
    <t>長浜</t>
  </si>
  <si>
    <t>西条農業</t>
  </si>
  <si>
    <t>内子</t>
  </si>
  <si>
    <t>小松</t>
  </si>
  <si>
    <t>八幡浜</t>
  </si>
  <si>
    <t>東予</t>
  </si>
  <si>
    <t>八幡浜工業</t>
  </si>
  <si>
    <t>丹原</t>
  </si>
  <si>
    <t>川之石</t>
  </si>
  <si>
    <t>今治東中等</t>
  </si>
  <si>
    <t>三崎</t>
  </si>
  <si>
    <t>今治西</t>
  </si>
  <si>
    <t>三瓶</t>
  </si>
  <si>
    <t>今治南</t>
  </si>
  <si>
    <t>宇和</t>
  </si>
  <si>
    <t>今治北</t>
  </si>
  <si>
    <t>野村</t>
  </si>
  <si>
    <t>(大三島分校)</t>
  </si>
  <si>
    <t>宇和島東</t>
  </si>
  <si>
    <t>今治工業</t>
  </si>
  <si>
    <t>宇和島南中等</t>
  </si>
  <si>
    <t>伯方</t>
  </si>
  <si>
    <t>宇和島水産</t>
  </si>
  <si>
    <t>弓削</t>
  </si>
  <si>
    <t>吉田</t>
  </si>
  <si>
    <t>北条</t>
  </si>
  <si>
    <t>三間</t>
  </si>
  <si>
    <t>松山東</t>
  </si>
  <si>
    <t>北宇和</t>
  </si>
  <si>
    <t>松山西中等</t>
  </si>
  <si>
    <t>津島</t>
  </si>
  <si>
    <t>松山南</t>
  </si>
  <si>
    <t>南宇和</t>
  </si>
  <si>
    <t>(砥部分校)</t>
  </si>
  <si>
    <t>松山北</t>
  </si>
  <si>
    <t>(中島分校)</t>
  </si>
  <si>
    <t>松山中央</t>
  </si>
  <si>
    <t>松山工業</t>
  </si>
  <si>
    <t>松山商業</t>
  </si>
  <si>
    <t>社会教育実態調査報告書</t>
  </si>
  <si>
    <t>（データ編）</t>
  </si>
  <si>
    <t xml:space="preserve">　　　　　　　　項目
　　市町名 </t>
  </si>
  <si>
    <t>本館（中央館・地区館）に
勤務する総職員数　（人）</t>
  </si>
  <si>
    <t>本館（中央館・地区館）に勤務する職員 （内訳）</t>
  </si>
  <si>
    <t>その他（含福祉関係）</t>
  </si>
  <si>
    <t>その他（含福祉関係）</t>
  </si>
  <si>
    <t>その他（含福祉関係）</t>
  </si>
  <si>
    <t>　</t>
  </si>
  <si>
    <t>伊予市</t>
  </si>
  <si>
    <t>八幡浜市</t>
  </si>
  <si>
    <t>（注）青年団以外の、青年教育に関連の深い任意団体として、各市町が把握しているものを記載している。</t>
  </si>
  <si>
    <t>運営員</t>
  </si>
  <si>
    <t>スキャップ</t>
  </si>
  <si>
    <t>（部門別人数）</t>
  </si>
  <si>
    <t>（区分別人数）</t>
  </si>
  <si>
    <t>秋山好古・真之兄弟</t>
  </si>
  <si>
    <t>関連資料</t>
  </si>
  <si>
    <t>（約3,740点）</t>
  </si>
  <si>
    <t>周桑商工会青年部</t>
  </si>
  <si>
    <t>周桑商工会女性部</t>
  </si>
  <si>
    <t>西条市明屋敷238番地8</t>
  </si>
  <si>
    <t>伊予市</t>
  </si>
  <si>
    <t>上島町商工会青年部弓削支部</t>
  </si>
  <si>
    <t>岩城農業後継者クラブ</t>
  </si>
  <si>
    <t>砥部町商工会青年部</t>
  </si>
  <si>
    <t>伊予商工会議所青年部</t>
  </si>
  <si>
    <t>伊予市青年農業者協議会</t>
  </si>
  <si>
    <t>下灘漁業後継者</t>
  </si>
  <si>
    <t>上灘漁業後継者</t>
  </si>
  <si>
    <t>双海・中山商工会青年部</t>
  </si>
  <si>
    <t>青少年の健全育成、地域ふれあい推進事業、交通安全推進</t>
  </si>
  <si>
    <t>環境美化、廃油石鹸、ぼかし作り、花作り、独居老人訪問</t>
  </si>
  <si>
    <t>地域の活動手伝い</t>
  </si>
  <si>
    <t>ＥＭ廃油石鹸、親子料理教室（食育）</t>
  </si>
  <si>
    <t>久万高原町婦人大会、女性講座</t>
  </si>
  <si>
    <t>公民館運営審議会委員との関係</t>
  </si>
  <si>
    <t>教育委員会事務局　生涯学習室</t>
  </si>
  <si>
    <t>教育委員会事務局　生涯学習室</t>
  </si>
  <si>
    <t>全員参加で地域に根ざす活動</t>
  </si>
  <si>
    <t>大洲市教育委員会生涯学習課(大洲市立図書館）</t>
  </si>
  <si>
    <t>教職員</t>
  </si>
  <si>
    <t>＊１　上段は合計数、下段の（　）内は女性で内数</t>
  </si>
  <si>
    <t>＊２　社会教育主事＞教職員＞有資格者数は、公立小中学校教職員数</t>
  </si>
  <si>
    <r>
      <t>17　婦人団体の状況</t>
    </r>
    <r>
      <rPr>
        <sz val="13"/>
        <color indexed="8"/>
        <rFont val="ＭＳ ゴシック"/>
        <family val="3"/>
      </rPr>
      <t xml:space="preserve">
</t>
    </r>
    <r>
      <rPr>
        <sz val="10"/>
        <color indexed="8"/>
        <rFont val="ＭＳ 明朝"/>
        <family val="1"/>
      </rPr>
      <t>（1）愛媛県連合婦人会に加盟している地域婦人会</t>
    </r>
  </si>
  <si>
    <r>
      <t>17　婦人団体の状況</t>
    </r>
    <r>
      <rPr>
        <sz val="13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（２）愛媛県連合婦人会に加盟していない地域婦人会</t>
    </r>
  </si>
  <si>
    <t>合　  計</t>
  </si>
  <si>
    <t>※全日制、定時制で同一の単位ＰＴＡ組織</t>
  </si>
  <si>
    <t>上島町商工会青年部岩城支部</t>
  </si>
  <si>
    <t>伊予書画、陶磁器</t>
  </si>
  <si>
    <t>近世～近代の</t>
  </si>
  <si>
    <t>中川青年隊</t>
  </si>
  <si>
    <t>科学技術資料、産業資
料など</t>
  </si>
  <si>
    <t>西予市宇和町卯之町
4-11-2</t>
  </si>
  <si>
    <t>民俗・考古
・歴史</t>
  </si>
  <si>
    <t>動物園</t>
  </si>
  <si>
    <t>総合
（自然・
  歴史・
  植物等）</t>
  </si>
  <si>
    <t>公民館行事、地域イベントの手伝い</t>
  </si>
  <si>
    <t>サロンの運営、読み聞かせ</t>
  </si>
  <si>
    <t>子育て支援、文化祭、敬老会</t>
  </si>
  <si>
    <t>運動会、夕涼み会、子どもスポーツ大会</t>
  </si>
  <si>
    <t>に関する資料(８万点）</t>
  </si>
  <si>
    <t>年末年始</t>
  </si>
  <si>
    <t>火曜日・祝日の翌日</t>
  </si>
  <si>
    <t>新居浜市立別子銅山
記念図書館</t>
  </si>
  <si>
    <t>宇和島市立簡野道明
記念吉田町図書館</t>
  </si>
  <si>
    <t>参加者数（人）</t>
  </si>
  <si>
    <r>
      <t xml:space="preserve">会員一人年間会費（円）
</t>
    </r>
    <r>
      <rPr>
        <sz val="7"/>
        <color indexed="8"/>
        <rFont val="ＭＳ Ｐ明朝"/>
        <family val="1"/>
      </rPr>
      <t>（地域婦人会のみ対象）</t>
    </r>
  </si>
  <si>
    <t>北条第２団</t>
  </si>
  <si>
    <t>地域
婦人会員数
(人）</t>
  </si>
  <si>
    <t>会　　員　（人）</t>
  </si>
  <si>
    <t>（人）</t>
  </si>
  <si>
    <t>学級生数（人）</t>
  </si>
  <si>
    <t>学級生数（人）</t>
  </si>
  <si>
    <t>奉仕活動、リサイクル活動、親子ふれあい活動</t>
  </si>
  <si>
    <t>異世代交流活動、子育て支援活動、施設訪問</t>
  </si>
  <si>
    <t>1,000～15,000</t>
  </si>
  <si>
    <t>体育・レクリエーション関係事業</t>
  </si>
  <si>
    <t>福祉関係事業</t>
  </si>
  <si>
    <t>施設開放事業
（公民館祭り等）</t>
  </si>
  <si>
    <t>環境整備・地域交流、学校行事でのバザー活動</t>
  </si>
  <si>
    <t>親子キャンプ、バザー、餅つき</t>
  </si>
  <si>
    <t>老人会・婦人会との交流、各種体験活動、お月見会</t>
  </si>
  <si>
    <t>聖カタリナ学園高等学校</t>
  </si>
  <si>
    <t>12月26日～1月1日</t>
  </si>
  <si>
    <t>月曜日（祝日及び振替休日に当たる場合は、その翌日。ただし、毎月第１月曜日は開館、翌火曜日が休館。）</t>
  </si>
  <si>
    <t>事業の自己評価等の実施の有無</t>
  </si>
  <si>
    <t>福祉学習、手作り料理教室、地域に根ざした活動、
生涯学習を核とした地域活性化を図る活動</t>
  </si>
  <si>
    <t>新居浜市美術館</t>
  </si>
  <si>
    <t>〒792-0812</t>
  </si>
  <si>
    <t>新居浜市坂井町2丁目</t>
  </si>
  <si>
    <t>8番1号</t>
  </si>
  <si>
    <t xml:space="preserve">花いっぱい運動
生涯学習ボランティア
</t>
  </si>
  <si>
    <t>5
2</t>
  </si>
  <si>
    <t>歴史資料・</t>
  </si>
  <si>
    <t>宇和島市立中央図書館
津島分館</t>
  </si>
  <si>
    <t>0～2,000</t>
  </si>
  <si>
    <t>独居老人への弁当配布、寄せ植え、特産品の加工品づくり</t>
  </si>
  <si>
    <t>おはなしボランティア養成研修会</t>
  </si>
  <si>
    <t>-</t>
  </si>
  <si>
    <t>把握困難</t>
  </si>
  <si>
    <t>16
(5)</t>
  </si>
  <si>
    <t>2
(1)</t>
  </si>
  <si>
    <t>3
(2)</t>
  </si>
  <si>
    <t>(休日の場合は開館)</t>
  </si>
  <si>
    <t>松山市</t>
  </si>
  <si>
    <t>（28．5．１）
（人）</t>
  </si>
  <si>
    <t>28年度</t>
  </si>
  <si>
    <t>東温第１団</t>
  </si>
  <si>
    <t>うわじま第１団</t>
  </si>
  <si>
    <t>うわじま第２団</t>
  </si>
  <si>
    <t>東予管内</t>
  </si>
  <si>
    <t>45
(16)</t>
  </si>
  <si>
    <t>校内キャンプ、奉仕活動、あいさつ運動</t>
  </si>
  <si>
    <t>親子キャンプ、夜市の出店</t>
  </si>
  <si>
    <t>親子キャンプ、奉仕活動</t>
  </si>
  <si>
    <t>86
(61)</t>
  </si>
  <si>
    <t>夜間パトロール、運動会準備、親子キャンプ</t>
  </si>
  <si>
    <t>登下校見守り活動、夏休みキャンプ</t>
  </si>
  <si>
    <t>2
(1)</t>
  </si>
  <si>
    <t>29年度</t>
  </si>
  <si>
    <t>月曜日（ただし、第１月曜日は開館し、翌火曜日が休館。祝日にあたる場合は、直後の平日）</t>
  </si>
  <si>
    <t>砥部町教育委員会
社会教育課</t>
  </si>
  <si>
    <t>○</t>
  </si>
  <si>
    <t>公民館主事　（人）</t>
  </si>
  <si>
    <t>1,000～2,000</t>
  </si>
  <si>
    <t>八幡浜商工会議所青年部</t>
  </si>
  <si>
    <t>○</t>
  </si>
  <si>
    <t>松野町商工会青年部</t>
  </si>
  <si>
    <t>○</t>
  </si>
  <si>
    <t>日吉一希を起こす会</t>
  </si>
  <si>
    <t>清掃活動、郷土料理の普及促進</t>
  </si>
  <si>
    <t>伊丹十三および伊丹万作</t>
  </si>
  <si>
    <t>無報酬</t>
  </si>
  <si>
    <t>郷土芸能の伝承活動、各種行事でのバザー</t>
  </si>
  <si>
    <t>(65)3580</t>
  </si>
  <si>
    <t>新居浜市上原町二丁目</t>
  </si>
  <si>
    <t>○</t>
  </si>
  <si>
    <t>市民交流課</t>
  </si>
  <si>
    <t>○</t>
  </si>
  <si>
    <t>○</t>
  </si>
  <si>
    <t>国道、県道沿線の清掃、花植え等</t>
  </si>
  <si>
    <t>郷土料理の提供・加工販売</t>
  </si>
  <si>
    <t>毎週月曜日</t>
  </si>
  <si>
    <t>義農祭、文化祭、清掃活動、女性学級</t>
  </si>
  <si>
    <t>300
50</t>
  </si>
  <si>
    <t>おはなし会（読み聞かせ）
書架整理</t>
  </si>
  <si>
    <t>県道花壇花植え、環境浄化微生物資材づくり教室</t>
  </si>
  <si>
    <t>○</t>
  </si>
  <si>
    <t>地域のニーズに合った活動と共に、会員募集活動・イベントを行っている。</t>
  </si>
  <si>
    <t>地域行事のバザー、環境美化運動、盆踊り講習会</t>
  </si>
  <si>
    <t>（土日を除く）</t>
  </si>
  <si>
    <t>13
(5)</t>
  </si>
  <si>
    <t>正岡子規に関する資料</t>
  </si>
  <si>
    <t>自然資料
 鉱物・岩石・貝類
 一般動物・植物・化石
人文資料
 遺跡出土品・墨蹟類
 歴史参考品・陶磁器
 図書</t>
  </si>
  <si>
    <t>餅つき大会、登下校の見守り、自然体験活動</t>
  </si>
  <si>
    <t>10　 成人を対象とした学級・講座開設状況</t>
  </si>
  <si>
    <t>11　 家庭教育に関する講座開設状況</t>
  </si>
  <si>
    <t>12　 高齢者を対象とした学級・講座開設状況</t>
  </si>
  <si>
    <t>13　 青少年の地域活動の状況</t>
  </si>
  <si>
    <t>14　 子ども会の状況</t>
  </si>
  <si>
    <t>15　 目的少年団体の状況（ボーイスカウト・ガールスカウト）</t>
  </si>
  <si>
    <t>16　 青年団体の状況</t>
  </si>
  <si>
    <t>17　 婦人団体の状況</t>
  </si>
  <si>
    <t>18　 愛護班の状況</t>
  </si>
  <si>
    <t>19　 ＰＴＡの状況</t>
  </si>
  <si>
    <t>20　 おやじの会の状況</t>
  </si>
  <si>
    <t>21　 県内の登録博物館及び博物館相当施設</t>
  </si>
  <si>
    <t>22　 県内公共図書館</t>
  </si>
  <si>
    <t>23　 市町等の主な課題と対応策</t>
  </si>
  <si>
    <t>　項目
市町名</t>
  </si>
  <si>
    <t>-</t>
  </si>
  <si>
    <t>-</t>
  </si>
  <si>
    <t>-</t>
  </si>
  <si>
    <t>(1)国公立幼稚園小中学校</t>
  </si>
  <si>
    <t>(5)ＰＴＡの状況調べ</t>
  </si>
  <si>
    <t>-</t>
  </si>
  <si>
    <t>新居浜第２団</t>
  </si>
  <si>
    <t>西条第６団</t>
  </si>
  <si>
    <t>松山第７団</t>
  </si>
  <si>
    <t>(2)県高等学校ＰＴＡ</t>
  </si>
  <si>
    <t>-</t>
  </si>
  <si>
    <t>平成30年度</t>
  </si>
  <si>
    <r>
      <t xml:space="preserve">調査基準日：平成30年５月１日
</t>
    </r>
    <r>
      <rPr>
        <sz val="9"/>
        <rFont val="ＭＳ 明朝"/>
        <family val="1"/>
      </rPr>
      <t>（ただし、事業の実施状況等については29年度間）</t>
    </r>
  </si>
  <si>
    <t>（29．5．１）
（人）</t>
  </si>
  <si>
    <r>
      <t xml:space="preserve">対象人口
</t>
    </r>
    <r>
      <rPr>
        <sz val="8"/>
        <rFont val="ＭＳ Ｐ明朝"/>
        <family val="1"/>
      </rPr>
      <t>(29.5.1
推計人口）</t>
    </r>
  </si>
  <si>
    <t>平成29年度の
会議開催回数</t>
  </si>
  <si>
    <t>29.11.15～31.11.14</t>
  </si>
  <si>
    <t>29.6.26～31.6.25</t>
  </si>
  <si>
    <t>29.5.21～31.5.20</t>
  </si>
  <si>
    <t>30.4.1～32.3.31</t>
  </si>
  <si>
    <t>29.2.1～31.1.31</t>
  </si>
  <si>
    <t>29.5.1～31.4.30</t>
  </si>
  <si>
    <t>29.4.1～31.3.31</t>
  </si>
  <si>
    <t>29.7.1～31.6.30</t>
  </si>
  <si>
    <t>29.8.1～31.7.31</t>
  </si>
  <si>
    <t>４　　ボランティアバンク設置・ボランティア活動状況(平成29年度実績）</t>
  </si>
  <si>
    <t>４　　ボランティアバンク設置・ボランティア活動状況(平成30年度計画）</t>
  </si>
  <si>
    <t>新居浜市ボランティア・市民活動センター</t>
  </si>
  <si>
    <t>手話講座(入門）昼・夜
要約筆記講座(入門）
点訳講座(入門）
音訳講座(入門）
手話講座(基礎)昼・夜
要約筆記講座(基礎)
点訳講座（基礎）
音訳講座(基礎)
朗読講座（初級）
ボランティア入門講座
「夏バテ解消！」健康料理教室
傾聴ボランティア講座（初級）
精神保健ボランティア講座
朗読講座（中級）
防災ボランティア講座
傾聴ボランティア講座（中級）</t>
  </si>
  <si>
    <t>36
15
10
15
44
15
20
15
15
5
1   
6
5
10
1
5</t>
  </si>
  <si>
    <t>292
15 
40 
29
243
27 
79
42 
187
46
26
117
70
64
12
4</t>
  </si>
  <si>
    <t>新居浜市ボランティア
連絡協議会定例会等
福祉教育協力校
担当者連絡会
ワークキャンプ
ハートピック
inにいはま2017
（実行委員含む）
生き生き幸せフェスティバル・ボランティアフェスティバル
ボランティア・チャレンジinにいはま</t>
  </si>
  <si>
    <t>12
1
1
4
1
27</t>
  </si>
  <si>
    <t>300
28
78
142
3,500
63</t>
  </si>
  <si>
    <t>手話講座(入門）昼・夜
要約筆記講座(入門）
点訳講座(入門）
音訳講座(入門）
手話講座(基礎)昼・夜
要約筆記講座(基礎)
点訳講座（基礎）
音訳講座(基礎)
朗読講座（初級）
健康料理教室
傾聴ボランティア講座（初級）
精神保健ボランティア講座
防災ボランティア講座
傾聴ボランティア講座（中級）</t>
  </si>
  <si>
    <t>36
15
10
15
44
15
20
15
15
1   
6
5
1
5</t>
  </si>
  <si>
    <t>360
45 
50 
45
440
45 
50
45 
225
30
120
75
40
100</t>
  </si>
  <si>
    <t>新居浜市ボランティア
連絡協議会定例会等
福祉教育協力校
担当者連絡会
ワークキャンプ
ハートピック
inにいはま2018
（実行委員含む）
生き生き幸せフェスティバル・ボランティアフェスティバル
ボランティア・チャレンジinにいはま</t>
  </si>
  <si>
    <t>300
32
80
150
3,500
70</t>
  </si>
  <si>
    <t>12
1
1
4
1
20</t>
  </si>
  <si>
    <t>・絵本の魅力と読み聞かせ方法について学ぼう！
・エプロンシアターと小道具でおはなし会をもっと楽しく！～マジックスクリーンを作ってみよう～
・プログラムの組み方を学ぼう！お気に入りの絵本を紹介しあおう！</t>
  </si>
  <si>
    <t>45
34</t>
  </si>
  <si>
    <t>おはなし会
（読み聞かせ）
書架整理</t>
  </si>
  <si>
    <t>163
34</t>
  </si>
  <si>
    <t>50
35</t>
  </si>
  <si>
    <t>180
35</t>
  </si>
  <si>
    <t>ボランティア研修会
傾聴ボランティア養成講座
ボランティア交流会
災害ボランティア研修会</t>
  </si>
  <si>
    <t>5
6
1
1</t>
  </si>
  <si>
    <t>116
74
136
100</t>
  </si>
  <si>
    <t xml:space="preserve">ボランティアチャレンジ（市独自）
</t>
  </si>
  <si>
    <t>地域振興課</t>
  </si>
  <si>
    <t>ボランティア交流会
ボランティア研修会
傾聴ボランティア養成講座
災害ボランティア研修会</t>
  </si>
  <si>
    <t>1
5
6
1</t>
  </si>
  <si>
    <t>130
120
60
100</t>
  </si>
  <si>
    <t>5
1</t>
  </si>
  <si>
    <t>332
20</t>
  </si>
  <si>
    <t>松前町社会福祉協議会、松前町教育委員会社会教育課</t>
  </si>
  <si>
    <t>ボランティアのパソコン講座
知識を高めよう
災害体験講座</t>
  </si>
  <si>
    <t>バイオマス事業
成人式ボランティア
福祉大会ボランティア
文化祭ボランティア
福祉ふれあいフェア
東日本・熊本復興支援街頭募金</t>
  </si>
  <si>
    <t>砥部町教育委員会社会教育課</t>
  </si>
  <si>
    <t>おはなしボランティア養成研修会</t>
  </si>
  <si>
    <t>こどもを対象にした本の読み聞かせをおこなう</t>
  </si>
  <si>
    <t>こどもを対象にした本の読み聞かせを行う</t>
  </si>
  <si>
    <t>平成29年度の会議開催回数</t>
  </si>
  <si>
    <t>平成29年度実績</t>
  </si>
  <si>
    <t>平成30年度計画</t>
  </si>
  <si>
    <t>平成29年度実績</t>
  </si>
  <si>
    <t>平成30年度計画</t>
  </si>
  <si>
    <t>1,331
（387）</t>
  </si>
  <si>
    <t>（　）は子供の人数で外数</t>
  </si>
  <si>
    <t>1,265
（345）</t>
  </si>
  <si>
    <t>平成29年度実績</t>
  </si>
  <si>
    <t>-</t>
  </si>
  <si>
    <r>
      <t xml:space="preserve">県費
</t>
    </r>
    <r>
      <rPr>
        <sz val="6"/>
        <color indexed="8"/>
        <rFont val="ＭＳ Ｐ明朝"/>
        <family val="1"/>
      </rPr>
      <t>(国庫補助含む)</t>
    </r>
  </si>
  <si>
    <t>1,345
（885）</t>
  </si>
  <si>
    <t>（　）は子供の人数で外数</t>
  </si>
  <si>
    <t>1,128
（842）</t>
  </si>
  <si>
    <t>学級数</t>
  </si>
  <si>
    <t>経費</t>
  </si>
  <si>
    <t>(千円)</t>
  </si>
  <si>
    <t>(回数)</t>
  </si>
  <si>
    <t>6,786
(109)</t>
  </si>
  <si>
    <t>7,778
(120)</t>
  </si>
  <si>
    <t>第３団</t>
  </si>
  <si>
    <t>-</t>
  </si>
  <si>
    <t>最低～最高</t>
  </si>
  <si>
    <t>年会費（円）</t>
  </si>
  <si>
    <t>0～2,000</t>
  </si>
  <si>
    <t>今治商工会議所青年部</t>
  </si>
  <si>
    <t>公益社団法人今治青年会議所</t>
  </si>
  <si>
    <t>青年農業者会</t>
  </si>
  <si>
    <t>越智商工会青年部波方支部</t>
  </si>
  <si>
    <t>越智商工会青年部大西支部</t>
  </si>
  <si>
    <t>越智商工会大西支部女性部</t>
  </si>
  <si>
    <t>菊間町漁業協同組合青年部</t>
  </si>
  <si>
    <t>菊間町窯業協同組合青年部</t>
  </si>
  <si>
    <t>越智商工会青年部菊間支部</t>
  </si>
  <si>
    <t>しまなみ商工会青年部宮窪支部</t>
  </si>
  <si>
    <t>宮窪漁協協同組合青年部</t>
  </si>
  <si>
    <t>しまなみ商工会青年部上浦支部</t>
  </si>
  <si>
    <t>上浦町青年農業者協議会</t>
  </si>
  <si>
    <t>恵回会</t>
  </si>
  <si>
    <t>西条市青年農業者協議会</t>
  </si>
  <si>
    <t>西条商工会議所青年部</t>
  </si>
  <si>
    <t>西条青年会議所</t>
  </si>
  <si>
    <t>西条市ひうち漁協青年部協議会</t>
  </si>
  <si>
    <t>東予青年漁業者連絡協議会</t>
  </si>
  <si>
    <t>桜遊会</t>
  </si>
  <si>
    <t>桜会</t>
  </si>
  <si>
    <t>周桑林業研究会グループ</t>
  </si>
  <si>
    <t>狩江青年会</t>
  </si>
  <si>
    <t>花壇手入れ、文化祭、廃油石けん作り</t>
  </si>
  <si>
    <t>小学校清掃活動、伝統文化の承継、地域活性化</t>
  </si>
  <si>
    <t>花いっぱい運動、敬老会、資源ごみ回収</t>
  </si>
  <si>
    <t>桜まつり、三世代交流会、登下校見守り</t>
  </si>
  <si>
    <t>盆踊り、バザー、いも炊き、交通茶屋</t>
  </si>
  <si>
    <t>-</t>
  </si>
  <si>
    <t>防災活動、婚活</t>
  </si>
  <si>
    <t>国際ＭＴＢレースちゃんぽん作り、三世代なかよし運動会</t>
  </si>
  <si>
    <t>※大洲市は幼小中</t>
  </si>
  <si>
    <t>平　成　30　年　度</t>
  </si>
  <si>
    <t>538
(148)</t>
  </si>
  <si>
    <t>（　）は、愛媛のおやじ井戸端会議（県連合組織）に加盟しているおやじの会で内数</t>
  </si>
  <si>
    <t>1,244
(479)</t>
  </si>
  <si>
    <t>ランドセル・文房具を海外へ寄付、親子キャンプ</t>
  </si>
  <si>
    <t>35
(20)</t>
  </si>
  <si>
    <t>96
（29）</t>
  </si>
  <si>
    <t>32
（15）</t>
  </si>
  <si>
    <t>55
(16)</t>
  </si>
  <si>
    <t>1,463
(479)</t>
  </si>
  <si>
    <t>3
（1）</t>
  </si>
  <si>
    <t>342
(125)</t>
  </si>
  <si>
    <t>年間入館者数
(Ｈ29)</t>
  </si>
  <si>
    <t>坂の上の雲ミュージアム</t>
  </si>
  <si>
    <t>（約６万８千点）</t>
  </si>
  <si>
    <t>職　　員
（H30.5.1現在）</t>
  </si>
  <si>
    <t>蔵　書　冊　数
（H30.3.31現在）</t>
  </si>
  <si>
    <t>年間受入冊数
（H29年度）</t>
  </si>
  <si>
    <t>年間
除籍
冊数
（H29
年度）</t>
  </si>
  <si>
    <t>雑誌購入種数
（H29
年度）</t>
  </si>
  <si>
    <t>新聞購入種数
（H29
年度）</t>
  </si>
  <si>
    <t>館外個人貸出</t>
  </si>
  <si>
    <r>
      <t xml:space="preserve">登　録
人　数
</t>
    </r>
    <r>
      <rPr>
        <sz val="8"/>
        <color indexed="8"/>
        <rFont val="ＭＳ Ｐ明朝"/>
        <family val="1"/>
      </rPr>
      <t>（H29
年度までの累計）</t>
    </r>
  </si>
  <si>
    <r>
      <t xml:space="preserve">うち児童
用図書
貸出冊数
</t>
    </r>
    <r>
      <rPr>
        <sz val="8"/>
        <color indexed="8"/>
        <rFont val="ＭＳ Ｐ明朝"/>
        <family val="1"/>
      </rPr>
      <t>（H29
年度）</t>
    </r>
  </si>
  <si>
    <r>
      <t xml:space="preserve">貸　出
冊　数
</t>
    </r>
    <r>
      <rPr>
        <sz val="8"/>
        <color indexed="8"/>
        <rFont val="ＭＳ Ｐ明朝"/>
        <family val="1"/>
      </rPr>
      <t>（H29
年度）</t>
    </r>
  </si>
  <si>
    <t>今治市大三島美術館本館</t>
  </si>
  <si>
    <t>美術</t>
  </si>
  <si>
    <t>日本画を中心とした</t>
  </si>
  <si>
    <t>美術作品</t>
  </si>
  <si>
    <t>〒794-1304</t>
  </si>
  <si>
    <t>9099-1</t>
  </si>
  <si>
    <t>0897</t>
  </si>
  <si>
    <t>(82)1234</t>
  </si>
  <si>
    <t>12月27日～12月31日</t>
  </si>
  <si>
    <t>(兼務)</t>
  </si>
  <si>
    <t>今治市大三島美術館別館
ところミュージアム
大三島</t>
  </si>
  <si>
    <t>現代彫刻を中心とした</t>
  </si>
  <si>
    <t>〒794-1308</t>
  </si>
  <si>
    <t>今治市大三島町浦戸</t>
  </si>
  <si>
    <t>2362-3</t>
  </si>
  <si>
    <t>(83)0380</t>
  </si>
  <si>
    <t>今治市大三島美術館別館
今治市　岩田　健
母と子のミュージアム</t>
  </si>
  <si>
    <t>岩田　健氏の彫刻作品</t>
  </si>
  <si>
    <t>〒794-1309</t>
  </si>
  <si>
    <t>今治市大三島町宗方</t>
  </si>
  <si>
    <t>5208-2</t>
  </si>
  <si>
    <t>(83)0383</t>
  </si>
  <si>
    <t>黒田清輝・鹿子木孟他</t>
  </si>
  <si>
    <t>絵画作品（約1,200点）</t>
  </si>
  <si>
    <t>月曜日(祝日、振替休日及び第一月曜日にあたる場合は開館し、その翌平日が休館)、12月29日～1月3日</t>
  </si>
  <si>
    <t>新居浜市立図書館
角野分館</t>
  </si>
  <si>
    <t>毎週月曜日(祝日と重なる場合は翌平日)、年末年始</t>
  </si>
  <si>
    <t>大洲市立図書館
長浜分館</t>
  </si>
  <si>
    <t>大洲市立図書館
肱川分館</t>
  </si>
  <si>
    <t>大洲市立図書館
河辺分館</t>
  </si>
  <si>
    <t>四国中央市おやこ図書館</t>
  </si>
  <si>
    <t>毎週月曜日、第3日曜日、年末年始（12/28～1/4）</t>
  </si>
  <si>
    <t>平成30年６月～休館中</t>
  </si>
  <si>
    <t>東温市立図書館川内分館</t>
  </si>
  <si>
    <t>西予市民図書館
中央館</t>
  </si>
  <si>
    <t>西予市民図書館
野村分館</t>
  </si>
  <si>
    <t>西予市民図書館
三瓶分館</t>
  </si>
  <si>
    <t>西予市民図書館
明浜分館</t>
  </si>
  <si>
    <t>西予市民図書館
城川分館</t>
  </si>
  <si>
    <t>西予市民図書館
遊子川分館</t>
  </si>
  <si>
    <t>西予市民図書館
土居分館</t>
  </si>
  <si>
    <t>西予市民図書館
高川分館</t>
  </si>
  <si>
    <t>西予市民図書館
魚成分館</t>
  </si>
  <si>
    <t>一本松青年団</t>
  </si>
  <si>
    <t>夏休み親子活動、餅つき大会の準備・運営</t>
  </si>
  <si>
    <t>34
(5)</t>
  </si>
  <si>
    <t>981
(148)</t>
  </si>
  <si>
    <t>102
(26)</t>
  </si>
  <si>
    <t>2,786
(752)</t>
  </si>
  <si>
    <t>※男女の合計2,792人と合計欄5,439人の差2,647人は同市「PTA家庭教育学級（男女の内訳は未把握）」</t>
  </si>
  <si>
    <t>※男女の合計2,499人と合計欄6,499人の差4,000人は同市「PTA家庭教育学級（男女の内訳は未把握）」</t>
  </si>
  <si>
    <t>-</t>
  </si>
  <si>
    <t>国公立幼稚園</t>
  </si>
  <si>
    <t>国公立幼稚園</t>
  </si>
  <si>
    <t>幼小中学校ＰＴＡ</t>
  </si>
  <si>
    <t>みなら特別支援学校（松山城北分校）</t>
  </si>
  <si>
    <t>みなら特別支援学校</t>
  </si>
  <si>
    <t>新居浜特別支援学校</t>
  </si>
  <si>
    <t>新居浜特別支援学校（川西分校）</t>
  </si>
  <si>
    <t>（3）特別支援学校ＰＴＡ</t>
  </si>
  <si>
    <t>（4）私立中学高等学校保護者会</t>
  </si>
  <si>
    <t>夕方・夜間補導、町民運動会</t>
  </si>
  <si>
    <t>奉仕作業、親子海岸清掃、デイキャンプ</t>
  </si>
  <si>
    <t>会数</t>
  </si>
  <si>
    <t>会員数</t>
  </si>
  <si>
    <t>注）　本調査の対象とするボランティアセンターは、全ての県民を対象としていることから、高校生を中心とした青少年を対象している
　　ヤングボランティアセンター（愛媛県教育委員会事務局社会教育課所管）は、調査対象に含まれない。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</si>
</sst>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0_);\(0\)"/>
    <numFmt numFmtId="179" formatCode="#,##0_ "/>
    <numFmt numFmtId="180" formatCode="#,##0_);[Red]\(#,##0\)"/>
    <numFmt numFmtId="181" formatCode="0&quot;団&quot;"/>
    <numFmt numFmtId="182" formatCode="&quot;(&quot;#,##0&quot;)&quot;"/>
    <numFmt numFmtId="183" formatCode="#,##0.00_ ;[Red]\-#,##0.00\ "/>
    <numFmt numFmtId="184" formatCode="#,##0.0_ "/>
    <numFmt numFmtId="185" formatCode="&quot;松&quot;&quot;山&quot;&quot;第&quot;#,###&quot;団&quot;"/>
    <numFmt numFmtId="186" formatCode="[&lt;=999]000;[&lt;=99999]000\-00;000\-0000"/>
    <numFmt numFmtId="187" formatCode="0_ "/>
    <numFmt numFmtId="188" formatCode="#,##0;&quot;△ &quot;#,##0"/>
    <numFmt numFmtId="189" formatCode="0\'&quot;円&quot;"/>
    <numFmt numFmtId="190" formatCode="0&quot;円&quot;"/>
    <numFmt numFmtId="191" formatCode="#,##0&quot;円&quot;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00\-0000"/>
    <numFmt numFmtId="197" formatCode="0000\-00\-0000"/>
    <numFmt numFmtId="198" formatCode="000\-000\-000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mmmm\ d\,\ yyyy"/>
    <numFmt numFmtId="204" formatCode="[$-411]g/&quot;標&quot;&quot;準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_ "/>
    <numFmt numFmtId="209" formatCode="\(#,##0\)"/>
    <numFmt numFmtId="210" formatCode="#,##0&quot;千&quot;&quot;円&quot;"/>
    <numFmt numFmtId="211" formatCode="\(#,##0&quot;人&quot;\)"/>
    <numFmt numFmtId="212" formatCode="0_);[Red]\(0\)"/>
    <numFmt numFmtId="213" formatCode="0;&quot;△ &quot;0"/>
    <numFmt numFmtId="214" formatCode="#,##0_);\(#,##0\)"/>
    <numFmt numFmtId="215" formatCode="#,##0&quot;人&quot;"/>
    <numFmt numFmtId="216" formatCode="General&quot;円&quot;"/>
    <numFmt numFmtId="217" formatCode="#,##0.0"/>
    <numFmt numFmtId="218" formatCode="[$€-2]\ #,##0.00_);[Red]\([$€-2]\ #,##0.00\)"/>
    <numFmt numFmtId="219" formatCode="#,##0&quot;事業&quot;"/>
    <numFmt numFmtId="220" formatCode="#,##0;[Red]#,##0"/>
    <numFmt numFmtId="221" formatCode="#,##0.00;[Red]#,##0.00"/>
    <numFmt numFmtId="222" formatCode="#,##0.0;[Red]#,##0.0"/>
  </numFmts>
  <fonts count="10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明朝"/>
      <family val="1"/>
    </font>
    <font>
      <sz val="13"/>
      <name val="ＭＳ 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36"/>
      <name val="ＭＳ 明朝"/>
      <family val="1"/>
    </font>
    <font>
      <b/>
      <sz val="22"/>
      <name val="ＭＳ 明朝"/>
      <family val="1"/>
    </font>
    <font>
      <strike/>
      <sz val="11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7"/>
      <color indexed="8"/>
      <name val="ＭＳ Ｐ明朝"/>
      <family val="1"/>
    </font>
    <font>
      <sz val="13"/>
      <color indexed="8"/>
      <name val="ＭＳ ゴシック"/>
      <family val="3"/>
    </font>
    <font>
      <sz val="13"/>
      <color indexed="8"/>
      <name val="ＭＳ Ｐ明朝"/>
      <family val="1"/>
    </font>
    <font>
      <sz val="10.5"/>
      <name val="ＭＳ 明朝"/>
      <family val="1"/>
    </font>
    <font>
      <sz val="7"/>
      <name val="ＭＳ 明朝"/>
      <family val="1"/>
    </font>
    <font>
      <sz val="5"/>
      <name val="ＭＳ Ｐ明朝"/>
      <family val="1"/>
    </font>
    <font>
      <sz val="7.5"/>
      <name val="ＭＳ Ｐ明朝"/>
      <family val="1"/>
    </font>
    <font>
      <sz val="6"/>
      <color indexed="8"/>
      <name val="ＭＳ Ｐ明朝"/>
      <family val="1"/>
    </font>
    <font>
      <sz val="11.5"/>
      <name val="ＭＳ Ｐ明朝"/>
      <family val="1"/>
    </font>
    <font>
      <sz val="11.5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5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9"/>
      <color indexed="8"/>
      <name val="ＭＳ Ｐゴシック"/>
      <family val="3"/>
    </font>
    <font>
      <sz val="10.5"/>
      <color indexed="8"/>
      <name val="ＭＳ 明朝"/>
      <family val="1"/>
    </font>
    <font>
      <sz val="7.5"/>
      <color indexed="8"/>
      <name val="ＭＳ Ｐ明朝"/>
      <family val="1"/>
    </font>
    <font>
      <sz val="11.5"/>
      <color indexed="8"/>
      <name val="ＭＳ Ｐ明朝"/>
      <family val="1"/>
    </font>
    <font>
      <sz val="11.5"/>
      <color indexed="8"/>
      <name val="ＭＳ 明朝"/>
      <family val="1"/>
    </font>
    <font>
      <b/>
      <sz val="36"/>
      <color indexed="8"/>
      <name val="ＭＳ 明朝"/>
      <family val="1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9"/>
      <color theme="1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6"/>
      <color theme="1"/>
      <name val="ＭＳ Ｐ明朝"/>
      <family val="1"/>
    </font>
    <font>
      <sz val="5"/>
      <color theme="1"/>
      <name val="ＭＳ Ｐ明朝"/>
      <family val="1"/>
    </font>
    <font>
      <sz val="7"/>
      <color theme="1"/>
      <name val="ＭＳ Ｐ明朝"/>
      <family val="1"/>
    </font>
    <font>
      <sz val="8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明朝"/>
      <family val="1"/>
    </font>
    <font>
      <b/>
      <sz val="11"/>
      <color theme="1"/>
      <name val="ＭＳ Ｐ明朝"/>
      <family val="1"/>
    </font>
    <font>
      <b/>
      <sz val="9"/>
      <color theme="1"/>
      <name val="ＭＳ Ｐゴシック"/>
      <family val="3"/>
    </font>
    <font>
      <sz val="10.5"/>
      <color theme="1"/>
      <name val="ＭＳ 明朝"/>
      <family val="1"/>
    </font>
    <font>
      <sz val="7.5"/>
      <color theme="1"/>
      <name val="ＭＳ Ｐ明朝"/>
      <family val="1"/>
    </font>
    <font>
      <sz val="11.5"/>
      <color theme="1"/>
      <name val="ＭＳ Ｐ明朝"/>
      <family val="1"/>
    </font>
    <font>
      <sz val="11.5"/>
      <color theme="1"/>
      <name val="ＭＳ 明朝"/>
      <family val="1"/>
    </font>
    <font>
      <b/>
      <sz val="36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double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 style="medium"/>
      <diagonal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0" borderId="0">
      <alignment vertical="center"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6" fillId="0" borderId="0">
      <alignment/>
      <protection/>
    </xf>
    <xf numFmtId="0" fontId="4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278">
    <xf numFmtId="0" fontId="0" fillId="0" borderId="0" xfId="0" applyAlignment="1">
      <alignment/>
    </xf>
    <xf numFmtId="38" fontId="0" fillId="0" borderId="0" xfId="50" applyFill="1" applyAlignment="1" applyProtection="1">
      <alignment/>
      <protection/>
    </xf>
    <xf numFmtId="38" fontId="5" fillId="0" borderId="0" xfId="50" applyFont="1" applyFill="1" applyAlignment="1" applyProtection="1">
      <alignment/>
      <protection/>
    </xf>
    <xf numFmtId="38" fontId="5" fillId="0" borderId="0" xfId="50" applyFont="1" applyFill="1" applyAlignment="1" applyProtection="1">
      <alignment horizontal="left"/>
      <protection/>
    </xf>
    <xf numFmtId="38" fontId="5" fillId="0" borderId="0" xfId="50" applyFont="1" applyFill="1" applyBorder="1" applyAlignment="1" applyProtection="1">
      <alignment/>
      <protection/>
    </xf>
    <xf numFmtId="38" fontId="0" fillId="0" borderId="0" xfId="50" applyFill="1" applyBorder="1" applyAlignment="1" applyProtection="1">
      <alignment/>
      <protection/>
    </xf>
    <xf numFmtId="38" fontId="10" fillId="0" borderId="0" xfId="50" applyFont="1" applyFill="1" applyAlignment="1" applyProtection="1">
      <alignment vertical="center"/>
      <protection/>
    </xf>
    <xf numFmtId="38" fontId="5" fillId="0" borderId="0" xfId="50" applyFont="1" applyFill="1" applyAlignment="1" applyProtection="1">
      <alignment vertical="center"/>
      <protection/>
    </xf>
    <xf numFmtId="38" fontId="5" fillId="0" borderId="0" xfId="50" applyFont="1" applyFill="1" applyBorder="1" applyAlignment="1" applyProtection="1">
      <alignment horizontal="left" vertical="center"/>
      <protection/>
    </xf>
    <xf numFmtId="38" fontId="10" fillId="0" borderId="0" xfId="50" applyFont="1" applyFill="1" applyBorder="1" applyAlignment="1" applyProtection="1">
      <alignment vertical="center"/>
      <protection/>
    </xf>
    <xf numFmtId="38" fontId="5" fillId="0" borderId="10" xfId="50" applyFont="1" applyFill="1" applyBorder="1" applyAlignment="1" applyProtection="1">
      <alignment/>
      <protection/>
    </xf>
    <xf numFmtId="38" fontId="0" fillId="0" borderId="0" xfId="50" applyFill="1" applyAlignment="1" applyProtection="1">
      <alignment horizontal="center"/>
      <protection/>
    </xf>
    <xf numFmtId="38" fontId="5" fillId="0" borderId="0" xfId="50" applyFont="1" applyFill="1" applyBorder="1" applyAlignment="1" applyProtection="1">
      <alignment horizontal="left"/>
      <protection/>
    </xf>
    <xf numFmtId="3" fontId="5" fillId="0" borderId="0" xfId="50" applyNumberFormat="1" applyFont="1" applyFill="1" applyBorder="1" applyAlignment="1" applyProtection="1">
      <alignment/>
      <protection/>
    </xf>
    <xf numFmtId="178" fontId="0" fillId="0" borderId="0" xfId="50" applyNumberFormat="1" applyFill="1" applyAlignment="1" applyProtection="1">
      <alignment/>
      <protection/>
    </xf>
    <xf numFmtId="3" fontId="0" fillId="0" borderId="0" xfId="50" applyNumberFormat="1" applyFill="1" applyAlignment="1" applyProtection="1">
      <alignment/>
      <protection/>
    </xf>
    <xf numFmtId="38" fontId="8" fillId="0" borderId="11" xfId="50" applyFont="1" applyFill="1" applyBorder="1" applyAlignment="1" applyProtection="1">
      <alignment vertical="top"/>
      <protection/>
    </xf>
    <xf numFmtId="38" fontId="5" fillId="0" borderId="0" xfId="50" applyFont="1" applyFill="1" applyBorder="1" applyAlignment="1" applyProtection="1" quotePrefix="1">
      <alignment/>
      <protection/>
    </xf>
    <xf numFmtId="0" fontId="0" fillId="0" borderId="0" xfId="0" applyFill="1" applyAlignment="1">
      <alignment/>
    </xf>
    <xf numFmtId="38" fontId="15" fillId="0" borderId="12" xfId="50" applyFont="1" applyFill="1" applyBorder="1" applyAlignment="1" applyProtection="1">
      <alignment horizontal="center" vertical="center"/>
      <protection/>
    </xf>
    <xf numFmtId="38" fontId="15" fillId="0" borderId="13" xfId="50" applyFont="1" applyFill="1" applyBorder="1" applyAlignment="1" applyProtection="1">
      <alignment horizontal="center" vertical="center"/>
      <protection/>
    </xf>
    <xf numFmtId="3" fontId="15" fillId="0" borderId="13" xfId="50" applyNumberFormat="1" applyFont="1" applyFill="1" applyBorder="1" applyAlignment="1" applyProtection="1">
      <alignment horizontal="center" vertical="center"/>
      <protection/>
    </xf>
    <xf numFmtId="38" fontId="13" fillId="0" borderId="13" xfId="5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>
      <alignment horizontal="center" vertical="center" shrinkToFit="1"/>
    </xf>
    <xf numFmtId="38" fontId="13" fillId="0" borderId="15" xfId="50" applyFont="1" applyFill="1" applyBorder="1" applyAlignment="1" applyProtection="1">
      <alignment horizontal="right" vertical="center"/>
      <protection locked="0"/>
    </xf>
    <xf numFmtId="38" fontId="13" fillId="0" borderId="16" xfId="50" applyFont="1" applyFill="1" applyBorder="1" applyAlignment="1" applyProtection="1">
      <alignment vertical="center"/>
      <protection/>
    </xf>
    <xf numFmtId="176" fontId="13" fillId="0" borderId="15" xfId="50" applyNumberFormat="1" applyFont="1" applyFill="1" applyBorder="1" applyAlignment="1" applyProtection="1">
      <alignment vertical="center"/>
      <protection/>
    </xf>
    <xf numFmtId="3" fontId="13" fillId="0" borderId="15" xfId="50" applyNumberFormat="1" applyFont="1" applyFill="1" applyBorder="1" applyAlignment="1" applyProtection="1">
      <alignment vertical="center"/>
      <protection/>
    </xf>
    <xf numFmtId="176" fontId="13" fillId="0" borderId="17" xfId="50" applyNumberFormat="1" applyFont="1" applyFill="1" applyBorder="1" applyAlignment="1" applyProtection="1">
      <alignment vertical="center"/>
      <protection/>
    </xf>
    <xf numFmtId="38" fontId="13" fillId="0" borderId="0" xfId="50" applyFont="1" applyFill="1" applyBorder="1" applyAlignment="1">
      <alignment/>
    </xf>
    <xf numFmtId="38" fontId="15" fillId="0" borderId="0" xfId="50" applyFont="1" applyFill="1" applyAlignment="1">
      <alignment/>
    </xf>
    <xf numFmtId="38" fontId="0" fillId="0" borderId="0" xfId="50" applyFill="1" applyAlignment="1">
      <alignment/>
    </xf>
    <xf numFmtId="38" fontId="13" fillId="0" borderId="0" xfId="50" applyFont="1" applyFill="1" applyAlignment="1">
      <alignment/>
    </xf>
    <xf numFmtId="38" fontId="13" fillId="0" borderId="13" xfId="50" applyFont="1" applyFill="1" applyBorder="1" applyAlignment="1" applyProtection="1">
      <alignment horizontal="right" vertical="center"/>
      <protection locked="0"/>
    </xf>
    <xf numFmtId="182" fontId="13" fillId="0" borderId="18" xfId="50" applyNumberFormat="1" applyFont="1" applyFill="1" applyBorder="1" applyAlignment="1" applyProtection="1">
      <alignment horizontal="right" vertical="center"/>
      <protection locked="0"/>
    </xf>
    <xf numFmtId="38" fontId="14" fillId="0" borderId="11" xfId="50" applyFont="1" applyFill="1" applyBorder="1" applyAlignment="1">
      <alignment vertical="center" textRotation="255" wrapText="1"/>
    </xf>
    <xf numFmtId="0" fontId="12" fillId="0" borderId="0" xfId="0" applyFont="1" applyFill="1" applyAlignment="1">
      <alignment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38" fontId="13" fillId="0" borderId="11" xfId="5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8" fontId="15" fillId="0" borderId="21" xfId="50" applyFont="1" applyFill="1" applyBorder="1" applyAlignment="1" applyProtection="1">
      <alignment horizontal="center" vertical="center" wrapText="1"/>
      <protection/>
    </xf>
    <xf numFmtId="38" fontId="34" fillId="0" borderId="13" xfId="50" applyFont="1" applyFill="1" applyBorder="1" applyAlignment="1" applyProtection="1">
      <alignment horizontal="center" vertical="center" wrapText="1"/>
      <protection/>
    </xf>
    <xf numFmtId="38" fontId="13" fillId="0" borderId="0" xfId="50" applyFont="1" applyFill="1" applyAlignment="1" applyProtection="1">
      <alignment/>
      <protection/>
    </xf>
    <xf numFmtId="0" fontId="13" fillId="0" borderId="0" xfId="0" applyFont="1" applyFill="1" applyBorder="1" applyAlignment="1">
      <alignment vertical="top"/>
    </xf>
    <xf numFmtId="38" fontId="15" fillId="0" borderId="0" xfId="50" applyFont="1" applyFill="1" applyBorder="1" applyAlignment="1" applyProtection="1">
      <alignment/>
      <protection/>
    </xf>
    <xf numFmtId="38" fontId="15" fillId="0" borderId="0" xfId="50" applyFont="1" applyFill="1" applyAlignment="1" applyProtection="1">
      <alignment/>
      <protection/>
    </xf>
    <xf numFmtId="38" fontId="14" fillId="0" borderId="22" xfId="5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top"/>
    </xf>
    <xf numFmtId="38" fontId="0" fillId="0" borderId="0" xfId="50" applyFont="1" applyFill="1" applyAlignment="1" applyProtection="1">
      <alignment/>
      <protection/>
    </xf>
    <xf numFmtId="38" fontId="2" fillId="0" borderId="0" xfId="50" applyFont="1" applyFill="1" applyAlignment="1" applyProtection="1">
      <alignment/>
      <protection/>
    </xf>
    <xf numFmtId="38" fontId="15" fillId="0" borderId="23" xfId="50" applyFont="1" applyFill="1" applyBorder="1" applyAlignment="1" applyProtection="1">
      <alignment horizontal="center" vertical="center"/>
      <protection/>
    </xf>
    <xf numFmtId="38" fontId="8" fillId="0" borderId="11" xfId="50" applyFont="1" applyFill="1" applyBorder="1" applyAlignment="1" applyProtection="1">
      <alignment vertical="top" wrapText="1"/>
      <protection/>
    </xf>
    <xf numFmtId="0" fontId="3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 vertical="center" shrinkToFit="1"/>
    </xf>
    <xf numFmtId="0" fontId="14" fillId="0" borderId="12" xfId="0" applyNumberFormat="1" applyFont="1" applyFill="1" applyBorder="1" applyAlignment="1">
      <alignment horizontal="center" vertical="center" shrinkToFit="1"/>
    </xf>
    <xf numFmtId="0" fontId="14" fillId="0" borderId="24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3" fontId="34" fillId="0" borderId="25" xfId="0" applyNumberFormat="1" applyFont="1" applyFill="1" applyBorder="1" applyAlignment="1">
      <alignment vertical="center" shrinkToFit="1"/>
    </xf>
    <xf numFmtId="3" fontId="34" fillId="0" borderId="26" xfId="0" applyNumberFormat="1" applyFont="1" applyFill="1" applyBorder="1" applyAlignment="1">
      <alignment vertical="center" shrinkToFit="1"/>
    </xf>
    <xf numFmtId="3" fontId="34" fillId="0" borderId="27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shrinkToFit="1"/>
    </xf>
    <xf numFmtId="180" fontId="13" fillId="0" borderId="0" xfId="0" applyNumberFormat="1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180" fontId="2" fillId="0" borderId="0" xfId="0" applyNumberFormat="1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15" fillId="0" borderId="28" xfId="0" applyFont="1" applyFill="1" applyBorder="1" applyAlignment="1">
      <alignment horizontal="center" vertical="center" wrapText="1" shrinkToFit="1"/>
    </xf>
    <xf numFmtId="0" fontId="15" fillId="0" borderId="29" xfId="0" applyFont="1" applyFill="1" applyBorder="1" applyAlignment="1">
      <alignment horizontal="center" vertical="center" wrapText="1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13" fillId="0" borderId="24" xfId="0" applyNumberFormat="1" applyFont="1" applyFill="1" applyBorder="1" applyAlignment="1">
      <alignment horizontal="center" vertical="center" shrinkToFit="1"/>
    </xf>
    <xf numFmtId="179" fontId="13" fillId="0" borderId="2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 shrinkToFi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8" fontId="40" fillId="0" borderId="0" xfId="50" applyFont="1" applyFill="1" applyAlignment="1">
      <alignment/>
    </xf>
    <xf numFmtId="179" fontId="13" fillId="0" borderId="0" xfId="0" applyNumberFormat="1" applyFont="1" applyFill="1" applyAlignment="1">
      <alignment/>
    </xf>
    <xf numFmtId="179" fontId="13" fillId="0" borderId="14" xfId="0" applyNumberFormat="1" applyFont="1" applyFill="1" applyBorder="1" applyAlignment="1">
      <alignment horizontal="center" vertical="center"/>
    </xf>
    <xf numFmtId="179" fontId="13" fillId="0" borderId="13" xfId="0" applyNumberFormat="1" applyFont="1" applyFill="1" applyBorder="1" applyAlignment="1">
      <alignment horizontal="center" vertical="center"/>
    </xf>
    <xf numFmtId="179" fontId="13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14" fillId="0" borderId="0" xfId="50" applyFont="1" applyFill="1" applyAlignment="1">
      <alignment/>
    </xf>
    <xf numFmtId="38" fontId="41" fillId="0" borderId="0" xfId="50" applyFont="1" applyFill="1" applyBorder="1" applyAlignment="1">
      <alignment vertical="center"/>
    </xf>
    <xf numFmtId="38" fontId="12" fillId="0" borderId="0" xfId="50" applyFont="1" applyFill="1" applyBorder="1" applyAlignment="1" applyProtection="1">
      <alignment horizontal="left" vertical="center"/>
      <protection/>
    </xf>
    <xf numFmtId="0" fontId="16" fillId="0" borderId="0" xfId="70" applyFill="1">
      <alignment/>
      <protection/>
    </xf>
    <xf numFmtId="0" fontId="16" fillId="0" borderId="0" xfId="70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38" fontId="15" fillId="0" borderId="0" xfId="5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13" fillId="0" borderId="0" xfId="50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30" xfId="0" applyNumberFormat="1" applyFont="1" applyFill="1" applyBorder="1" applyAlignment="1">
      <alignment horizontal="center" vertical="distributed" textRotation="255"/>
    </xf>
    <xf numFmtId="0" fontId="14" fillId="0" borderId="14" xfId="0" applyNumberFormat="1" applyFont="1" applyFill="1" applyBorder="1" applyAlignment="1">
      <alignment horizontal="center" vertical="distributed" textRotation="255"/>
    </xf>
    <xf numFmtId="37" fontId="15" fillId="0" borderId="0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38" fontId="5" fillId="0" borderId="0" xfId="50" applyFont="1" applyFill="1" applyAlignment="1">
      <alignment/>
    </xf>
    <xf numFmtId="38" fontId="6" fillId="0" borderId="0" xfId="50" applyFont="1" applyFill="1" applyAlignment="1">
      <alignment/>
    </xf>
    <xf numFmtId="38" fontId="5" fillId="0" borderId="10" xfId="50" applyFont="1" applyFill="1" applyBorder="1" applyAlignment="1">
      <alignment/>
    </xf>
    <xf numFmtId="38" fontId="5" fillId="0" borderId="10" xfId="50" applyFont="1" applyFill="1" applyBorder="1" applyAlignment="1" applyProtection="1">
      <alignment horizontal="left" vertical="center"/>
      <protection/>
    </xf>
    <xf numFmtId="38" fontId="10" fillId="0" borderId="0" xfId="50" applyFont="1" applyFill="1" applyAlignment="1">
      <alignment vertical="center"/>
    </xf>
    <xf numFmtId="38" fontId="43" fillId="0" borderId="0" xfId="50" applyFont="1" applyFill="1" applyAlignment="1">
      <alignment/>
    </xf>
    <xf numFmtId="38" fontId="42" fillId="0" borderId="0" xfId="50" applyFont="1" applyFill="1" applyAlignment="1">
      <alignment/>
    </xf>
    <xf numFmtId="177" fontId="13" fillId="0" borderId="0" xfId="50" applyNumberFormat="1" applyFont="1" applyFill="1" applyAlignment="1">
      <alignment/>
    </xf>
    <xf numFmtId="179" fontId="13" fillId="0" borderId="0" xfId="50" applyNumberFormat="1" applyFont="1" applyFill="1" applyAlignment="1">
      <alignment/>
    </xf>
    <xf numFmtId="0" fontId="9" fillId="0" borderId="0" xfId="69" applyFont="1" applyFill="1" applyAlignment="1">
      <alignment horizontal="left"/>
      <protection/>
    </xf>
    <xf numFmtId="0" fontId="9" fillId="0" borderId="0" xfId="69" applyFont="1" applyFill="1">
      <alignment/>
      <protection/>
    </xf>
    <xf numFmtId="0" fontId="9" fillId="0" borderId="0" xfId="69" applyFont="1" applyFill="1" applyAlignment="1">
      <alignment shrinkToFit="1"/>
      <protection/>
    </xf>
    <xf numFmtId="49" fontId="45" fillId="0" borderId="0" xfId="69" applyNumberFormat="1" applyFont="1" applyFill="1">
      <alignment/>
      <protection/>
    </xf>
    <xf numFmtId="0" fontId="45" fillId="0" borderId="0" xfId="69" applyFont="1" applyFill="1">
      <alignment/>
      <protection/>
    </xf>
    <xf numFmtId="0" fontId="6" fillId="0" borderId="0" xfId="50" applyNumberFormat="1" applyFont="1" applyFill="1" applyAlignment="1" applyProtection="1" quotePrefix="1">
      <alignment/>
      <protection/>
    </xf>
    <xf numFmtId="38" fontId="5" fillId="0" borderId="31" xfId="50" applyFont="1" applyFill="1" applyBorder="1" applyAlignment="1" applyProtection="1" quotePrefix="1">
      <alignment/>
      <protection/>
    </xf>
    <xf numFmtId="38" fontId="5" fillId="0" borderId="31" xfId="50" applyFont="1" applyFill="1" applyBorder="1" applyAlignment="1" applyProtection="1">
      <alignment horizontal="left"/>
      <protection/>
    </xf>
    <xf numFmtId="178" fontId="5" fillId="0" borderId="31" xfId="5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vertical="top" wrapText="1"/>
    </xf>
    <xf numFmtId="38" fontId="15" fillId="0" borderId="21" xfId="50" applyFont="1" applyFill="1" applyBorder="1" applyAlignment="1" applyProtection="1">
      <alignment vertical="center"/>
      <protection/>
    </xf>
    <xf numFmtId="38" fontId="15" fillId="0" borderId="32" xfId="50" applyFont="1" applyFill="1" applyBorder="1" applyAlignment="1" applyProtection="1">
      <alignment horizontal="center" vertical="center"/>
      <protection/>
    </xf>
    <xf numFmtId="38" fontId="5" fillId="0" borderId="33" xfId="50" applyFont="1" applyFill="1" applyBorder="1" applyAlignment="1" applyProtection="1">
      <alignment/>
      <protection/>
    </xf>
    <xf numFmtId="38" fontId="5" fillId="0" borderId="34" xfId="50" applyFont="1" applyFill="1" applyBorder="1" applyAlignment="1" applyProtection="1">
      <alignment/>
      <protection/>
    </xf>
    <xf numFmtId="38" fontId="15" fillId="0" borderId="16" xfId="50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 horizontal="justify"/>
    </xf>
    <xf numFmtId="0" fontId="35" fillId="0" borderId="0" xfId="0" applyFont="1" applyAlignment="1">
      <alignment horizontal="justify"/>
    </xf>
    <xf numFmtId="0" fontId="4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right" vertical="center"/>
    </xf>
    <xf numFmtId="38" fontId="13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38" fontId="9" fillId="0" borderId="0" xfId="50" applyFont="1" applyFill="1" applyAlignment="1">
      <alignment/>
    </xf>
    <xf numFmtId="38" fontId="9" fillId="0" borderId="0" xfId="50" applyFont="1" applyFill="1" applyAlignment="1">
      <alignment horizontal="right"/>
    </xf>
    <xf numFmtId="38" fontId="9" fillId="0" borderId="0" xfId="50" applyFont="1" applyFill="1" applyBorder="1" applyAlignment="1">
      <alignment horizontal="right"/>
    </xf>
    <xf numFmtId="38" fontId="9" fillId="0" borderId="0" xfId="50" applyFont="1" applyFill="1" applyBorder="1" applyAlignment="1">
      <alignment wrapText="1"/>
    </xf>
    <xf numFmtId="38" fontId="9" fillId="0" borderId="0" xfId="50" applyFont="1" applyFill="1" applyBorder="1" applyAlignment="1">
      <alignment horizontal="right" shrinkToFit="1"/>
    </xf>
    <xf numFmtId="38" fontId="9" fillId="0" borderId="0" xfId="50" applyFont="1" applyFill="1" applyBorder="1" applyAlignment="1">
      <alignment/>
    </xf>
    <xf numFmtId="38" fontId="9" fillId="0" borderId="0" xfId="50" applyFont="1" applyFill="1" applyBorder="1" applyAlignment="1">
      <alignment/>
    </xf>
    <xf numFmtId="38" fontId="9" fillId="0" borderId="0" xfId="50" applyFont="1" applyFill="1" applyBorder="1" applyAlignment="1">
      <alignment horizontal="left"/>
    </xf>
    <xf numFmtId="38" fontId="9" fillId="0" borderId="0" xfId="50" applyFont="1" applyFill="1" applyBorder="1" applyAlignment="1">
      <alignment shrinkToFit="1"/>
    </xf>
    <xf numFmtId="38" fontId="9" fillId="0" borderId="0" xfId="50" applyFont="1" applyFill="1" applyBorder="1" applyAlignment="1">
      <alignment horizontal="center"/>
    </xf>
    <xf numFmtId="38" fontId="9" fillId="0" borderId="0" xfId="50" applyFont="1" applyFill="1" applyAlignment="1">
      <alignment horizontal="left"/>
    </xf>
    <xf numFmtId="38" fontId="9" fillId="0" borderId="0" xfId="50" applyFont="1" applyFill="1" applyAlignment="1">
      <alignment shrinkToFit="1"/>
    </xf>
    <xf numFmtId="38" fontId="6" fillId="0" borderId="0" xfId="50" applyFont="1" applyFill="1" applyBorder="1" applyAlignment="1">
      <alignment vertical="center"/>
    </xf>
    <xf numFmtId="38" fontId="11" fillId="0" borderId="0" xfId="50" applyFont="1" applyFill="1" applyBorder="1" applyAlignment="1">
      <alignment vertical="center"/>
    </xf>
    <xf numFmtId="38" fontId="14" fillId="0" borderId="13" xfId="5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top" wrapText="1"/>
    </xf>
    <xf numFmtId="38" fontId="15" fillId="0" borderId="38" xfId="50" applyFont="1" applyFill="1" applyBorder="1" applyAlignment="1" applyProtection="1">
      <alignment vertical="center"/>
      <protection/>
    </xf>
    <xf numFmtId="38" fontId="15" fillId="0" borderId="39" xfId="50" applyFont="1" applyFill="1" applyBorder="1" applyAlignment="1" applyProtection="1">
      <alignment vertical="center"/>
      <protection/>
    </xf>
    <xf numFmtId="38" fontId="15" fillId="0" borderId="40" xfId="50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/>
    </xf>
    <xf numFmtId="182" fontId="15" fillId="0" borderId="41" xfId="50" applyNumberFormat="1" applyFont="1" applyFill="1" applyBorder="1" applyAlignment="1" applyProtection="1">
      <alignment vertical="center"/>
      <protection/>
    </xf>
    <xf numFmtId="182" fontId="15" fillId="0" borderId="42" xfId="50" applyNumberFormat="1" applyFont="1" applyFill="1" applyBorder="1" applyAlignment="1" applyProtection="1">
      <alignment vertical="center"/>
      <protection/>
    </xf>
    <xf numFmtId="182" fontId="15" fillId="0" borderId="43" xfId="50" applyNumberFormat="1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>
      <alignment horizontal="distributed" vertical="center"/>
    </xf>
    <xf numFmtId="38" fontId="15" fillId="0" borderId="28" xfId="50" applyFont="1" applyFill="1" applyBorder="1" applyAlignment="1" applyProtection="1">
      <alignment/>
      <protection/>
    </xf>
    <xf numFmtId="38" fontId="15" fillId="0" borderId="0" xfId="50" applyFont="1" applyFill="1" applyBorder="1" applyAlignment="1" applyProtection="1">
      <alignment horizontal="right"/>
      <protection/>
    </xf>
    <xf numFmtId="209" fontId="15" fillId="0" borderId="14" xfId="50" applyNumberFormat="1" applyFont="1" applyFill="1" applyBorder="1" applyAlignment="1" applyProtection="1">
      <alignment/>
      <protection/>
    </xf>
    <xf numFmtId="209" fontId="15" fillId="0" borderId="41" xfId="50" applyNumberFormat="1" applyFont="1" applyFill="1" applyBorder="1" applyAlignment="1" applyProtection="1">
      <alignment/>
      <protection/>
    </xf>
    <xf numFmtId="209" fontId="15" fillId="0" borderId="42" xfId="50" applyNumberFormat="1" applyFont="1" applyFill="1" applyBorder="1" applyAlignment="1" applyProtection="1">
      <alignment/>
      <protection/>
    </xf>
    <xf numFmtId="209" fontId="15" fillId="0" borderId="43" xfId="50" applyNumberFormat="1" applyFont="1" applyFill="1" applyBorder="1" applyAlignment="1" applyProtection="1">
      <alignment/>
      <protection/>
    </xf>
    <xf numFmtId="38" fontId="8" fillId="0" borderId="0" xfId="50" applyFont="1" applyFill="1" applyBorder="1" applyAlignment="1" applyProtection="1">
      <alignment horizontal="right"/>
      <protection/>
    </xf>
    <xf numFmtId="209" fontId="15" fillId="0" borderId="41" xfId="50" applyNumberFormat="1" applyFont="1" applyFill="1" applyBorder="1" applyAlignment="1" applyProtection="1">
      <alignment horizontal="right"/>
      <protection/>
    </xf>
    <xf numFmtId="209" fontId="15" fillId="0" borderId="42" xfId="50" applyNumberFormat="1" applyFont="1" applyFill="1" applyBorder="1" applyAlignment="1" applyProtection="1">
      <alignment horizontal="right"/>
      <protection/>
    </xf>
    <xf numFmtId="209" fontId="15" fillId="0" borderId="43" xfId="50" applyNumberFormat="1" applyFont="1" applyFill="1" applyBorder="1" applyAlignment="1" applyProtection="1">
      <alignment horizontal="right"/>
      <protection/>
    </xf>
    <xf numFmtId="40" fontId="0" fillId="0" borderId="0" xfId="50" applyNumberFormat="1" applyFill="1" applyAlignment="1" applyProtection="1">
      <alignment/>
      <protection/>
    </xf>
    <xf numFmtId="38" fontId="35" fillId="0" borderId="0" xfId="50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horizontal="right" vertical="center"/>
    </xf>
    <xf numFmtId="3" fontId="34" fillId="0" borderId="30" xfId="0" applyNumberFormat="1" applyFont="1" applyFill="1" applyBorder="1" applyAlignment="1">
      <alignment horizontal="right" vertical="center" shrinkToFit="1"/>
    </xf>
    <xf numFmtId="3" fontId="34" fillId="0" borderId="44" xfId="0" applyNumberFormat="1" applyFont="1" applyFill="1" applyBorder="1" applyAlignment="1">
      <alignment horizontal="right" vertical="center" shrinkToFit="1"/>
    </xf>
    <xf numFmtId="0" fontId="13" fillId="0" borderId="41" xfId="0" applyFont="1" applyFill="1" applyBorder="1" applyAlignment="1">
      <alignment horizontal="center" vertical="center"/>
    </xf>
    <xf numFmtId="38" fontId="0" fillId="0" borderId="0" xfId="50" applyFont="1" applyFill="1" applyAlignment="1">
      <alignment/>
    </xf>
    <xf numFmtId="37" fontId="5" fillId="0" borderId="0" xfId="0" applyNumberFormat="1" applyFont="1" applyFill="1" applyAlignment="1">
      <alignment/>
    </xf>
    <xf numFmtId="0" fontId="13" fillId="0" borderId="45" xfId="0" applyFont="1" applyFill="1" applyBorder="1" applyAlignment="1">
      <alignment horizontal="right" vertical="center"/>
    </xf>
    <xf numFmtId="0" fontId="13" fillId="0" borderId="45" xfId="0" applyFont="1" applyFill="1" applyBorder="1" applyAlignment="1">
      <alignment/>
    </xf>
    <xf numFmtId="0" fontId="0" fillId="0" borderId="0" xfId="68" applyFill="1">
      <alignment vertical="center"/>
      <protection/>
    </xf>
    <xf numFmtId="0" fontId="2" fillId="0" borderId="0" xfId="68" applyFont="1" applyFill="1">
      <alignment vertical="center"/>
      <protection/>
    </xf>
    <xf numFmtId="38" fontId="0" fillId="0" borderId="0" xfId="50" applyFill="1" applyAlignment="1">
      <alignment vertical="center"/>
    </xf>
    <xf numFmtId="0" fontId="9" fillId="0" borderId="0" xfId="67" applyFont="1" applyFill="1">
      <alignment/>
      <protection/>
    </xf>
    <xf numFmtId="38" fontId="9" fillId="0" borderId="0" xfId="50" applyFont="1" applyFill="1" applyAlignment="1">
      <alignment horizontal="right" vertical="center"/>
    </xf>
    <xf numFmtId="0" fontId="9" fillId="0" borderId="0" xfId="67" applyFont="1" applyFill="1" applyAlignment="1">
      <alignment vertical="center"/>
      <protection/>
    </xf>
    <xf numFmtId="38" fontId="44" fillId="0" borderId="0" xfId="50" applyFont="1" applyFill="1" applyAlignment="1">
      <alignment horizontal="right"/>
    </xf>
    <xf numFmtId="0" fontId="44" fillId="0" borderId="0" xfId="67" applyFont="1" applyFill="1">
      <alignment/>
      <protection/>
    </xf>
    <xf numFmtId="38" fontId="14" fillId="0" borderId="0" xfId="50" applyFont="1" applyFill="1" applyAlignment="1">
      <alignment horizontal="right" vertical="center"/>
    </xf>
    <xf numFmtId="0" fontId="14" fillId="0" borderId="0" xfId="67" applyFont="1" applyFill="1" applyAlignment="1">
      <alignment vertical="center"/>
      <protection/>
    </xf>
    <xf numFmtId="38" fontId="14" fillId="0" borderId="0" xfId="50" applyFont="1" applyFill="1" applyAlignment="1">
      <alignment horizontal="right"/>
    </xf>
    <xf numFmtId="0" fontId="14" fillId="0" borderId="0" xfId="67" applyFont="1" applyFill="1">
      <alignment/>
      <protection/>
    </xf>
    <xf numFmtId="38" fontId="9" fillId="0" borderId="0" xfId="50" applyFont="1" applyFill="1" applyBorder="1" applyAlignment="1" applyProtection="1">
      <alignment horizontal="right"/>
      <protection/>
    </xf>
    <xf numFmtId="38" fontId="15" fillId="0" borderId="0" xfId="50" applyFont="1" applyFill="1" applyAlignment="1">
      <alignment horizontal="right" vertical="center"/>
    </xf>
    <xf numFmtId="0" fontId="15" fillId="0" borderId="0" xfId="67" applyFont="1" applyFill="1" applyAlignment="1">
      <alignment vertical="center"/>
      <protection/>
    </xf>
    <xf numFmtId="0" fontId="15" fillId="0" borderId="13" xfId="0" applyFont="1" applyFill="1" applyBorder="1" applyAlignment="1">
      <alignment horizontal="center" vertical="center" wrapText="1"/>
    </xf>
    <xf numFmtId="38" fontId="15" fillId="0" borderId="22" xfId="50" applyFont="1" applyFill="1" applyBorder="1" applyAlignment="1" applyProtection="1">
      <alignment horizontal="center" vertical="center"/>
      <protection/>
    </xf>
    <xf numFmtId="38" fontId="15" fillId="0" borderId="46" xfId="50" applyFont="1" applyFill="1" applyBorder="1" applyAlignment="1" applyProtection="1">
      <alignment horizontal="center" vertical="center"/>
      <protection/>
    </xf>
    <xf numFmtId="176" fontId="15" fillId="0" borderId="16" xfId="50" applyNumberFormat="1" applyFont="1" applyFill="1" applyBorder="1" applyAlignment="1" applyProtection="1">
      <alignment vertical="center"/>
      <protection/>
    </xf>
    <xf numFmtId="38" fontId="15" fillId="0" borderId="16" xfId="50" applyNumberFormat="1" applyFont="1" applyFill="1" applyBorder="1" applyAlignment="1" applyProtection="1">
      <alignment horizontal="right" vertical="center"/>
      <protection/>
    </xf>
    <xf numFmtId="38" fontId="15" fillId="0" borderId="17" xfId="50" applyNumberFormat="1" applyFont="1" applyFill="1" applyBorder="1" applyAlignment="1" applyProtection="1">
      <alignment vertical="center"/>
      <protection/>
    </xf>
    <xf numFmtId="176" fontId="15" fillId="0" borderId="21" xfId="50" applyNumberFormat="1" applyFont="1" applyFill="1" applyBorder="1" applyAlignment="1" applyProtection="1">
      <alignment vertical="center"/>
      <protection/>
    </xf>
    <xf numFmtId="38" fontId="15" fillId="0" borderId="21" xfId="50" applyNumberFormat="1" applyFont="1" applyFill="1" applyBorder="1" applyAlignment="1" applyProtection="1">
      <alignment horizontal="right" vertical="center"/>
      <protection/>
    </xf>
    <xf numFmtId="38" fontId="15" fillId="0" borderId="35" xfId="50" applyNumberFormat="1" applyFont="1" applyFill="1" applyBorder="1" applyAlignment="1" applyProtection="1">
      <alignment vertical="center"/>
      <protection/>
    </xf>
    <xf numFmtId="0" fontId="81" fillId="0" borderId="0" xfId="69" applyFont="1" applyFill="1">
      <alignment/>
      <protection/>
    </xf>
    <xf numFmtId="0" fontId="82" fillId="0" borderId="45" xfId="0" applyFont="1" applyFill="1" applyBorder="1" applyAlignment="1">
      <alignment horizontal="right" vertical="center"/>
    </xf>
    <xf numFmtId="0" fontId="82" fillId="0" borderId="0" xfId="0" applyFont="1" applyFill="1" applyAlignment="1">
      <alignment/>
    </xf>
    <xf numFmtId="0" fontId="82" fillId="0" borderId="47" xfId="0" applyFont="1" applyBorder="1" applyAlignment="1">
      <alignment horizontal="distributed" vertical="center"/>
    </xf>
    <xf numFmtId="0" fontId="82" fillId="0" borderId="0" xfId="0" applyFont="1" applyAlignment="1">
      <alignment/>
    </xf>
    <xf numFmtId="0" fontId="83" fillId="0" borderId="23" xfId="0" applyFont="1" applyFill="1" applyBorder="1" applyAlignment="1">
      <alignment horizontal="distributed" vertical="center"/>
    </xf>
    <xf numFmtId="37" fontId="84" fillId="0" borderId="0" xfId="0" applyNumberFormat="1" applyFont="1" applyFill="1" applyAlignment="1" applyProtection="1">
      <alignment/>
      <protection/>
    </xf>
    <xf numFmtId="37" fontId="82" fillId="0" borderId="0" xfId="0" applyNumberFormat="1" applyFont="1" applyFill="1" applyAlignment="1" applyProtection="1">
      <alignment/>
      <protection/>
    </xf>
    <xf numFmtId="0" fontId="82" fillId="0" borderId="0" xfId="0" applyFont="1" applyFill="1" applyAlignment="1">
      <alignment horizontal="right"/>
    </xf>
    <xf numFmtId="0" fontId="85" fillId="0" borderId="0" xfId="0" applyFont="1" applyFill="1" applyAlignment="1">
      <alignment/>
    </xf>
    <xf numFmtId="38" fontId="86" fillId="0" borderId="0" xfId="50" applyFont="1" applyFill="1" applyAlignment="1" applyProtection="1">
      <alignment/>
      <protection/>
    </xf>
    <xf numFmtId="38" fontId="87" fillId="0" borderId="0" xfId="50" applyFont="1" applyFill="1" applyAlignment="1" applyProtection="1">
      <alignment/>
      <protection/>
    </xf>
    <xf numFmtId="0" fontId="83" fillId="0" borderId="0" xfId="0" applyFont="1" applyAlignment="1">
      <alignment/>
    </xf>
    <xf numFmtId="0" fontId="83" fillId="0" borderId="0" xfId="0" applyFont="1" applyAlignment="1">
      <alignment horizontal="left" vertical="center"/>
    </xf>
    <xf numFmtId="38" fontId="84" fillId="0" borderId="48" xfId="50" applyFont="1" applyFill="1" applyBorder="1" applyAlignment="1" applyProtection="1">
      <alignment vertical="center"/>
      <protection/>
    </xf>
    <xf numFmtId="38" fontId="84" fillId="0" borderId="38" xfId="50" applyFont="1" applyFill="1" applyBorder="1" applyAlignment="1" applyProtection="1">
      <alignment vertical="center"/>
      <protection/>
    </xf>
    <xf numFmtId="38" fontId="84" fillId="0" borderId="49" xfId="50" applyFont="1" applyFill="1" applyBorder="1" applyAlignment="1" applyProtection="1">
      <alignment vertical="center"/>
      <protection/>
    </xf>
    <xf numFmtId="182" fontId="84" fillId="0" borderId="31" xfId="50" applyNumberFormat="1" applyFont="1" applyFill="1" applyBorder="1" applyAlignment="1" applyProtection="1">
      <alignment vertical="center"/>
      <protection/>
    </xf>
    <xf numFmtId="182" fontId="84" fillId="0" borderId="41" xfId="50" applyNumberFormat="1" applyFont="1" applyFill="1" applyBorder="1" applyAlignment="1" applyProtection="1">
      <alignment vertical="center"/>
      <protection/>
    </xf>
    <xf numFmtId="182" fontId="84" fillId="0" borderId="37" xfId="50" applyNumberFormat="1" applyFont="1" applyFill="1" applyBorder="1" applyAlignment="1" applyProtection="1">
      <alignment vertical="center"/>
      <protection/>
    </xf>
    <xf numFmtId="209" fontId="84" fillId="0" borderId="36" xfId="50" applyNumberFormat="1" applyFont="1" applyFill="1" applyBorder="1" applyAlignment="1" applyProtection="1">
      <alignment/>
      <protection/>
    </xf>
    <xf numFmtId="209" fontId="84" fillId="0" borderId="41" xfId="50" applyNumberFormat="1" applyFont="1" applyFill="1" applyBorder="1" applyAlignment="1" applyProtection="1">
      <alignment/>
      <protection/>
    </xf>
    <xf numFmtId="209" fontId="84" fillId="0" borderId="37" xfId="50" applyNumberFormat="1" applyFont="1" applyFill="1" applyBorder="1" applyAlignment="1" applyProtection="1">
      <alignment/>
      <protection/>
    </xf>
    <xf numFmtId="209" fontId="84" fillId="0" borderId="31" xfId="50" applyNumberFormat="1" applyFont="1" applyFill="1" applyBorder="1" applyAlignment="1" applyProtection="1">
      <alignment horizontal="right"/>
      <protection/>
    </xf>
    <xf numFmtId="209" fontId="84" fillId="0" borderId="41" xfId="50" applyNumberFormat="1" applyFont="1" applyFill="1" applyBorder="1" applyAlignment="1" applyProtection="1">
      <alignment horizontal="right"/>
      <protection/>
    </xf>
    <xf numFmtId="209" fontId="84" fillId="0" borderId="37" xfId="50" applyNumberFormat="1" applyFont="1" applyFill="1" applyBorder="1" applyAlignment="1" applyProtection="1">
      <alignment horizontal="right"/>
      <protection/>
    </xf>
    <xf numFmtId="209" fontId="84" fillId="0" borderId="31" xfId="50" applyNumberFormat="1" applyFont="1" applyFill="1" applyBorder="1" applyAlignment="1" applyProtection="1">
      <alignment/>
      <protection/>
    </xf>
    <xf numFmtId="0" fontId="88" fillId="0" borderId="13" xfId="0" applyFont="1" applyFill="1" applyBorder="1" applyAlignment="1">
      <alignment vertical="center" wrapText="1"/>
    </xf>
    <xf numFmtId="0" fontId="89" fillId="0" borderId="13" xfId="0" applyFont="1" applyFill="1" applyBorder="1" applyAlignment="1">
      <alignment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left" vertical="center" wrapText="1"/>
    </xf>
    <xf numFmtId="0" fontId="88" fillId="0" borderId="43" xfId="0" applyFont="1" applyFill="1" applyBorder="1" applyAlignment="1">
      <alignment vertical="center" wrapText="1"/>
    </xf>
    <xf numFmtId="0" fontId="91" fillId="0" borderId="18" xfId="0" applyFont="1" applyFill="1" applyBorder="1" applyAlignment="1">
      <alignment horizontal="center" vertical="center" shrinkToFit="1"/>
    </xf>
    <xf numFmtId="0" fontId="91" fillId="0" borderId="13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vertical="center" wrapText="1"/>
    </xf>
    <xf numFmtId="0" fontId="90" fillId="0" borderId="43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distributed" vertical="center" textRotation="255"/>
    </xf>
    <xf numFmtId="0" fontId="82" fillId="0" borderId="0" xfId="0" applyFont="1" applyFill="1" applyBorder="1" applyAlignment="1">
      <alignment horizontal="distributed" vertical="center"/>
    </xf>
    <xf numFmtId="0" fontId="9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horizontal="center" vertical="center" wrapText="1"/>
    </xf>
    <xf numFmtId="180" fontId="90" fillId="0" borderId="0" xfId="0" applyNumberFormat="1" applyFont="1" applyFill="1" applyBorder="1" applyAlignment="1">
      <alignment horizontal="center" vertical="center" wrapText="1"/>
    </xf>
    <xf numFmtId="179" fontId="91" fillId="0" borderId="0" xfId="0" applyNumberFormat="1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/>
    </xf>
    <xf numFmtId="38" fontId="82" fillId="0" borderId="28" xfId="50" applyFont="1" applyFill="1" applyBorder="1" applyAlignment="1" applyProtection="1">
      <alignment horizontal="center" vertical="center"/>
      <protection/>
    </xf>
    <xf numFmtId="0" fontId="82" fillId="0" borderId="22" xfId="0" applyFont="1" applyFill="1" applyBorder="1" applyAlignment="1">
      <alignment horizontal="center" vertical="center" wrapText="1"/>
    </xf>
    <xf numFmtId="178" fontId="82" fillId="0" borderId="22" xfId="50" applyNumberFormat="1" applyFont="1" applyFill="1" applyBorder="1" applyAlignment="1" applyProtection="1">
      <alignment horizontal="center" vertical="center"/>
      <protection/>
    </xf>
    <xf numFmtId="178" fontId="82" fillId="0" borderId="18" xfId="50" applyNumberFormat="1" applyFont="1" applyFill="1" applyBorder="1" applyAlignment="1" applyProtection="1">
      <alignment horizontal="center" vertical="center"/>
      <protection/>
    </xf>
    <xf numFmtId="178" fontId="82" fillId="0" borderId="50" xfId="50" applyNumberFormat="1" applyFont="1" applyFill="1" applyBorder="1" applyAlignment="1" applyProtection="1">
      <alignment horizontal="center" vertical="center"/>
      <protection/>
    </xf>
    <xf numFmtId="0" fontId="82" fillId="0" borderId="24" xfId="0" applyFont="1" applyFill="1" applyBorder="1" applyAlignment="1">
      <alignment horizontal="center" vertical="center" wrapText="1"/>
    </xf>
    <xf numFmtId="38" fontId="82" fillId="0" borderId="16" xfId="50" applyFont="1" applyFill="1" applyBorder="1" applyAlignment="1" applyProtection="1">
      <alignment horizontal="right" vertical="center" shrinkToFit="1"/>
      <protection locked="0"/>
    </xf>
    <xf numFmtId="0" fontId="83" fillId="0" borderId="22" xfId="0" applyFont="1" applyFill="1" applyBorder="1" applyAlignment="1">
      <alignment horizontal="center" vertical="center" shrinkToFit="1"/>
    </xf>
    <xf numFmtId="0" fontId="83" fillId="0" borderId="51" xfId="0" applyFont="1" applyFill="1" applyBorder="1" applyAlignment="1">
      <alignment horizontal="distributed" vertical="center"/>
    </xf>
    <xf numFmtId="0" fontId="83" fillId="0" borderId="52" xfId="0" applyFont="1" applyFill="1" applyBorder="1" applyAlignment="1">
      <alignment horizontal="distributed" vertical="center"/>
    </xf>
    <xf numFmtId="0" fontId="83" fillId="0" borderId="52" xfId="0" applyFont="1" applyFill="1" applyBorder="1" applyAlignment="1">
      <alignment horizontal="distributed" vertical="center" wrapText="1"/>
    </xf>
    <xf numFmtId="0" fontId="83" fillId="0" borderId="28" xfId="0" applyFont="1" applyFill="1" applyBorder="1" applyAlignment="1">
      <alignment horizontal="distributed" vertical="center"/>
    </xf>
    <xf numFmtId="38" fontId="82" fillId="0" borderId="33" xfId="50" applyFont="1" applyFill="1" applyBorder="1" applyAlignment="1">
      <alignment vertical="center"/>
    </xf>
    <xf numFmtId="38" fontId="82" fillId="0" borderId="11" xfId="50" applyFont="1" applyFill="1" applyBorder="1" applyAlignment="1" applyProtection="1">
      <alignment horizontal="left" vertical="center"/>
      <protection/>
    </xf>
    <xf numFmtId="38" fontId="82" fillId="0" borderId="53" xfId="50" applyFont="1" applyFill="1" applyBorder="1" applyAlignment="1">
      <alignment horizontal="center" vertical="center"/>
    </xf>
    <xf numFmtId="38" fontId="82" fillId="0" borderId="10" xfId="50" applyFont="1" applyFill="1" applyBorder="1" applyAlignment="1">
      <alignment vertical="center"/>
    </xf>
    <xf numFmtId="38" fontId="82" fillId="0" borderId="0" xfId="50" applyFont="1" applyFill="1" applyBorder="1" applyAlignment="1" applyProtection="1">
      <alignment horizontal="left" vertical="center"/>
      <protection/>
    </xf>
    <xf numFmtId="38" fontId="82" fillId="0" borderId="26" xfId="50" applyFont="1" applyFill="1" applyBorder="1" applyAlignment="1">
      <alignment horizontal="right" vertical="center"/>
    </xf>
    <xf numFmtId="38" fontId="82" fillId="0" borderId="34" xfId="50" applyFont="1" applyFill="1" applyBorder="1" applyAlignment="1">
      <alignment vertical="center"/>
    </xf>
    <xf numFmtId="38" fontId="82" fillId="0" borderId="31" xfId="50" applyFont="1" applyFill="1" applyBorder="1" applyAlignment="1">
      <alignment vertical="center"/>
    </xf>
    <xf numFmtId="38" fontId="82" fillId="0" borderId="30" xfId="50" applyFont="1" applyFill="1" applyBorder="1" applyAlignment="1">
      <alignment vertical="center"/>
    </xf>
    <xf numFmtId="38" fontId="85" fillId="0" borderId="13" xfId="50" applyFont="1" applyFill="1" applyBorder="1" applyAlignment="1" applyProtection="1">
      <alignment horizontal="center" vertical="center"/>
      <protection/>
    </xf>
    <xf numFmtId="0" fontId="85" fillId="0" borderId="13" xfId="70" applyFont="1" applyFill="1" applyBorder="1" applyAlignment="1">
      <alignment horizontal="center" vertical="center"/>
      <protection/>
    </xf>
    <xf numFmtId="0" fontId="85" fillId="0" borderId="24" xfId="70" applyFont="1" applyFill="1" applyBorder="1" applyAlignment="1">
      <alignment horizontal="center" vertical="center"/>
      <protection/>
    </xf>
    <xf numFmtId="38" fontId="85" fillId="0" borderId="18" xfId="50" applyFont="1" applyFill="1" applyBorder="1" applyAlignment="1" applyProtection="1">
      <alignment horizontal="center" vertical="center"/>
      <protection/>
    </xf>
    <xf numFmtId="3" fontId="84" fillId="0" borderId="54" xfId="50" applyNumberFormat="1" applyFont="1" applyFill="1" applyBorder="1" applyAlignment="1" applyProtection="1">
      <alignment vertical="center"/>
      <protection/>
    </xf>
    <xf numFmtId="3" fontId="84" fillId="0" borderId="16" xfId="50" applyNumberFormat="1" applyFont="1" applyFill="1" applyBorder="1" applyAlignment="1" applyProtection="1">
      <alignment vertical="center"/>
      <protection/>
    </xf>
    <xf numFmtId="38" fontId="84" fillId="0" borderId="0" xfId="50" applyFont="1" applyFill="1" applyBorder="1" applyAlignment="1" applyProtection="1">
      <alignment horizontal="left"/>
      <protection/>
    </xf>
    <xf numFmtId="38" fontId="84" fillId="0" borderId="0" xfId="50" applyFont="1" applyFill="1" applyBorder="1" applyAlignment="1">
      <alignment/>
    </xf>
    <xf numFmtId="38" fontId="84" fillId="0" borderId="33" xfId="50" applyFont="1" applyFill="1" applyBorder="1" applyAlignment="1">
      <alignment/>
    </xf>
    <xf numFmtId="38" fontId="84" fillId="0" borderId="11" xfId="50" applyFont="1" applyFill="1" applyBorder="1" applyAlignment="1" applyProtection="1">
      <alignment horizontal="left"/>
      <protection/>
    </xf>
    <xf numFmtId="38" fontId="82" fillId="0" borderId="11" xfId="50" applyFont="1" applyFill="1" applyBorder="1" applyAlignment="1">
      <alignment horizontal="right"/>
    </xf>
    <xf numFmtId="38" fontId="84" fillId="0" borderId="10" xfId="50" applyFont="1" applyFill="1" applyBorder="1" applyAlignment="1">
      <alignment/>
    </xf>
    <xf numFmtId="38" fontId="84" fillId="0" borderId="0" xfId="50" applyFont="1" applyFill="1" applyBorder="1" applyAlignment="1">
      <alignment horizontal="right"/>
    </xf>
    <xf numFmtId="38" fontId="84" fillId="0" borderId="29" xfId="50" applyFont="1" applyFill="1" applyBorder="1" applyAlignment="1" applyProtection="1">
      <alignment horizontal="left"/>
      <protection/>
    </xf>
    <xf numFmtId="38" fontId="84" fillId="0" borderId="29" xfId="50" applyFont="1" applyFill="1" applyBorder="1" applyAlignment="1">
      <alignment/>
    </xf>
    <xf numFmtId="38" fontId="84" fillId="0" borderId="29" xfId="50" applyFont="1" applyFill="1" applyBorder="1" applyAlignment="1">
      <alignment horizontal="left"/>
    </xf>
    <xf numFmtId="38" fontId="84" fillId="0" borderId="29" xfId="50" applyFont="1" applyFill="1" applyBorder="1" applyAlignment="1">
      <alignment horizontal="center"/>
    </xf>
    <xf numFmtId="38" fontId="84" fillId="0" borderId="55" xfId="50" applyFont="1" applyFill="1" applyBorder="1" applyAlignment="1">
      <alignment horizontal="center"/>
    </xf>
    <xf numFmtId="38" fontId="82" fillId="0" borderId="10" xfId="50" applyFont="1" applyFill="1" applyBorder="1" applyAlignment="1">
      <alignment/>
    </xf>
    <xf numFmtId="38" fontId="82" fillId="0" borderId="0" xfId="50" applyFont="1" applyFill="1" applyBorder="1" applyAlignment="1">
      <alignment/>
    </xf>
    <xf numFmtId="38" fontId="82" fillId="0" borderId="16" xfId="50" applyFont="1" applyFill="1" applyBorder="1" applyAlignment="1" applyProtection="1">
      <alignment vertical="center"/>
      <protection/>
    </xf>
    <xf numFmtId="38" fontId="82" fillId="0" borderId="17" xfId="5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/>
    </xf>
    <xf numFmtId="0" fontId="87" fillId="0" borderId="0" xfId="0" applyFont="1" applyFill="1" applyAlignment="1">
      <alignment/>
    </xf>
    <xf numFmtId="38" fontId="84" fillId="0" borderId="0" xfId="50" applyFont="1" applyFill="1" applyBorder="1" applyAlignment="1" quotePrefix="1">
      <alignment horizontal="left"/>
    </xf>
    <xf numFmtId="38" fontId="82" fillId="0" borderId="0" xfId="50" applyFont="1" applyFill="1" applyBorder="1" applyAlignment="1" applyProtection="1">
      <alignment horizontal="left"/>
      <protection/>
    </xf>
    <xf numFmtId="0" fontId="82" fillId="0" borderId="0" xfId="0" applyNumberFormat="1" applyFont="1" applyFill="1" applyBorder="1" applyAlignment="1">
      <alignment horizontal="right"/>
    </xf>
    <xf numFmtId="0" fontId="81" fillId="0" borderId="13" xfId="0" applyNumberFormat="1" applyFont="1" applyFill="1" applyBorder="1" applyAlignment="1" quotePrefix="1">
      <alignment horizontal="center" vertical="distributed" textRotation="255"/>
    </xf>
    <xf numFmtId="0" fontId="81" fillId="0" borderId="14" xfId="0" applyNumberFormat="1" applyFont="1" applyFill="1" applyBorder="1" applyAlignment="1" quotePrefix="1">
      <alignment horizontal="center" vertical="distributed" textRotation="255"/>
    </xf>
    <xf numFmtId="0" fontId="81" fillId="0" borderId="14" xfId="0" applyNumberFormat="1" applyFont="1" applyFill="1" applyBorder="1" applyAlignment="1">
      <alignment horizontal="center" vertical="distributed" textRotation="255"/>
    </xf>
    <xf numFmtId="38" fontId="93" fillId="0" borderId="0" xfId="50" applyFont="1" applyFill="1" applyAlignment="1" quotePrefix="1">
      <alignment/>
    </xf>
    <xf numFmtId="38" fontId="84" fillId="0" borderId="0" xfId="50" applyFont="1" applyFill="1" applyAlignment="1">
      <alignment/>
    </xf>
    <xf numFmtId="177" fontId="84" fillId="0" borderId="0" xfId="50" applyNumberFormat="1" applyFont="1" applyFill="1" applyAlignment="1">
      <alignment/>
    </xf>
    <xf numFmtId="179" fontId="84" fillId="0" borderId="0" xfId="50" applyNumberFormat="1" applyFont="1" applyFill="1" applyAlignment="1" applyProtection="1">
      <alignment horizontal="left"/>
      <protection/>
    </xf>
    <xf numFmtId="179" fontId="84" fillId="0" borderId="0" xfId="50" applyNumberFormat="1" applyFont="1" applyFill="1" applyAlignment="1">
      <alignment/>
    </xf>
    <xf numFmtId="38" fontId="84" fillId="0" borderId="31" xfId="50" applyFont="1" applyFill="1" applyBorder="1" applyAlignment="1" quotePrefix="1">
      <alignment/>
    </xf>
    <xf numFmtId="38" fontId="84" fillId="0" borderId="31" xfId="50" applyFont="1" applyFill="1" applyBorder="1" applyAlignment="1" applyProtection="1">
      <alignment horizontal="left"/>
      <protection/>
    </xf>
    <xf numFmtId="177" fontId="84" fillId="0" borderId="31" xfId="50" applyNumberFormat="1" applyFont="1" applyFill="1" applyBorder="1" applyAlignment="1" applyProtection="1">
      <alignment horizontal="left"/>
      <protection/>
    </xf>
    <xf numFmtId="177" fontId="84" fillId="0" borderId="31" xfId="50" applyNumberFormat="1" applyFont="1" applyFill="1" applyBorder="1" applyAlignment="1">
      <alignment/>
    </xf>
    <xf numFmtId="179" fontId="84" fillId="0" borderId="31" xfId="50" applyNumberFormat="1" applyFont="1" applyFill="1" applyBorder="1" applyAlignment="1">
      <alignment/>
    </xf>
    <xf numFmtId="179" fontId="84" fillId="0" borderId="31" xfId="50" applyNumberFormat="1" applyFont="1" applyFill="1" applyBorder="1" applyAlignment="1" applyProtection="1">
      <alignment horizontal="left"/>
      <protection/>
    </xf>
    <xf numFmtId="177" fontId="82" fillId="0" borderId="56" xfId="50" applyNumberFormat="1" applyFont="1" applyFill="1" applyBorder="1" applyAlignment="1">
      <alignment horizontal="center" vertical="center"/>
    </xf>
    <xf numFmtId="177" fontId="82" fillId="0" borderId="51" xfId="50" applyNumberFormat="1" applyFont="1" applyFill="1" applyBorder="1" applyAlignment="1">
      <alignment horizontal="center" vertical="center"/>
    </xf>
    <xf numFmtId="177" fontId="82" fillId="0" borderId="57" xfId="50" applyNumberFormat="1" applyFont="1" applyFill="1" applyBorder="1" applyAlignment="1">
      <alignment horizontal="center" vertical="center"/>
    </xf>
    <xf numFmtId="177" fontId="82" fillId="0" borderId="58" xfId="50" applyNumberFormat="1" applyFont="1" applyFill="1" applyBorder="1" applyAlignment="1">
      <alignment horizontal="center" vertical="center"/>
    </xf>
    <xf numFmtId="179" fontId="82" fillId="0" borderId="56" xfId="50" applyNumberFormat="1" applyFont="1" applyFill="1" applyBorder="1" applyAlignment="1">
      <alignment horizontal="center" vertical="center" shrinkToFit="1"/>
    </xf>
    <xf numFmtId="179" fontId="82" fillId="0" borderId="49" xfId="50" applyNumberFormat="1" applyFont="1" applyFill="1" applyBorder="1" applyAlignment="1" applyProtection="1">
      <alignment horizontal="center" vertical="center" shrinkToFit="1"/>
      <protection/>
    </xf>
    <xf numFmtId="177" fontId="82" fillId="0" borderId="14" xfId="50" applyNumberFormat="1" applyFont="1" applyFill="1" applyBorder="1" applyAlignment="1" applyProtection="1">
      <alignment horizontal="center" vertical="center"/>
      <protection/>
    </xf>
    <xf numFmtId="177" fontId="82" fillId="0" borderId="13" xfId="50" applyNumberFormat="1" applyFont="1" applyFill="1" applyBorder="1" applyAlignment="1" applyProtection="1">
      <alignment horizontal="center" vertical="center"/>
      <protection/>
    </xf>
    <xf numFmtId="179" fontId="82" fillId="0" borderId="14" xfId="50" applyNumberFormat="1" applyFont="1" applyFill="1" applyBorder="1" applyAlignment="1" applyProtection="1">
      <alignment horizontal="center" vertical="center" shrinkToFit="1"/>
      <protection/>
    </xf>
    <xf numFmtId="179" fontId="82" fillId="0" borderId="37" xfId="50" applyNumberFormat="1" applyFont="1" applyFill="1" applyBorder="1" applyAlignment="1" applyProtection="1">
      <alignment horizontal="center" vertical="center" shrinkToFit="1"/>
      <protection/>
    </xf>
    <xf numFmtId="38" fontId="82" fillId="0" borderId="14" xfId="50" applyFont="1" applyFill="1" applyBorder="1" applyAlignment="1" applyProtection="1">
      <alignment vertical="center"/>
      <protection/>
    </xf>
    <xf numFmtId="38" fontId="82" fillId="0" borderId="41" xfId="50" applyFont="1" applyFill="1" applyBorder="1" applyAlignment="1" applyProtection="1">
      <alignment horizontal="right" vertical="center"/>
      <protection/>
    </xf>
    <xf numFmtId="38" fontId="82" fillId="0" borderId="37" xfId="50" applyFont="1" applyFill="1" applyBorder="1" applyAlignment="1" applyProtection="1">
      <alignment vertical="center"/>
      <protection/>
    </xf>
    <xf numFmtId="38" fontId="82" fillId="0" borderId="41" xfId="50" applyFont="1" applyFill="1" applyBorder="1" applyAlignment="1" applyProtection="1">
      <alignment vertical="center"/>
      <protection/>
    </xf>
    <xf numFmtId="38" fontId="87" fillId="0" borderId="0" xfId="50" applyFont="1" applyFill="1" applyAlignment="1">
      <alignment/>
    </xf>
    <xf numFmtId="38" fontId="94" fillId="0" borderId="0" xfId="50" applyFont="1" applyFill="1" applyBorder="1" applyAlignment="1" applyProtection="1" quotePrefix="1">
      <alignment horizontal="left"/>
      <protection/>
    </xf>
    <xf numFmtId="0" fontId="94" fillId="0" borderId="0" xfId="0" applyFont="1" applyFill="1" applyBorder="1" applyAlignment="1" applyProtection="1">
      <alignment horizontal="left"/>
      <protection/>
    </xf>
    <xf numFmtId="0" fontId="94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2" fillId="0" borderId="38" xfId="0" applyFont="1" applyFill="1" applyBorder="1" applyAlignment="1" applyProtection="1">
      <alignment horizontal="center"/>
      <protection/>
    </xf>
    <xf numFmtId="0" fontId="82" fillId="0" borderId="45" xfId="0" applyFont="1" applyFill="1" applyBorder="1" applyAlignment="1" applyProtection="1">
      <alignment horizontal="center"/>
      <protection/>
    </xf>
    <xf numFmtId="179" fontId="82" fillId="0" borderId="29" xfId="50" applyNumberFormat="1" applyFont="1" applyFill="1" applyBorder="1" applyAlignment="1" applyProtection="1">
      <alignment horizontal="center" vertical="center" shrinkToFit="1"/>
      <protection/>
    </xf>
    <xf numFmtId="179" fontId="82" fillId="0" borderId="55" xfId="50" applyNumberFormat="1" applyFont="1" applyFill="1" applyBorder="1" applyAlignment="1" applyProtection="1">
      <alignment horizontal="center" vertical="center" shrinkToFit="1"/>
      <protection/>
    </xf>
    <xf numFmtId="0" fontId="94" fillId="0" borderId="15" xfId="0" applyFont="1" applyFill="1" applyBorder="1" applyAlignment="1">
      <alignment/>
    </xf>
    <xf numFmtId="37" fontId="82" fillId="0" borderId="15" xfId="0" applyNumberFormat="1" applyFont="1" applyFill="1" applyBorder="1" applyAlignment="1" applyProtection="1">
      <alignment vertical="center"/>
      <protection/>
    </xf>
    <xf numFmtId="37" fontId="82" fillId="0" borderId="15" xfId="0" applyNumberFormat="1" applyFont="1" applyFill="1" applyBorder="1" applyAlignment="1" applyProtection="1">
      <alignment horizontal="right" vertical="center"/>
      <protection/>
    </xf>
    <xf numFmtId="37" fontId="82" fillId="0" borderId="17" xfId="0" applyNumberFormat="1" applyFont="1" applyFill="1" applyBorder="1" applyAlignment="1" applyProtection="1">
      <alignment vertical="center"/>
      <protection/>
    </xf>
    <xf numFmtId="0" fontId="94" fillId="0" borderId="41" xfId="0" applyFont="1" applyFill="1" applyBorder="1" applyAlignment="1">
      <alignment vertical="center"/>
    </xf>
    <xf numFmtId="37" fontId="82" fillId="0" borderId="41" xfId="0" applyNumberFormat="1" applyFont="1" applyFill="1" applyBorder="1" applyAlignment="1" applyProtection="1">
      <alignment vertical="center"/>
      <protection/>
    </xf>
    <xf numFmtId="37" fontId="84" fillId="0" borderId="41" xfId="0" applyNumberFormat="1" applyFont="1" applyFill="1" applyBorder="1" applyAlignment="1" applyProtection="1">
      <alignment horizontal="right" vertical="center"/>
      <protection/>
    </xf>
    <xf numFmtId="37" fontId="82" fillId="0" borderId="37" xfId="0" applyNumberFormat="1" applyFont="1" applyFill="1" applyBorder="1" applyAlignment="1" applyProtection="1">
      <alignment vertical="center"/>
      <protection/>
    </xf>
    <xf numFmtId="37" fontId="82" fillId="0" borderId="41" xfId="0" applyNumberFormat="1" applyFont="1" applyFill="1" applyBorder="1" applyAlignment="1" applyProtection="1">
      <alignment horizontal="right" vertical="center"/>
      <protection/>
    </xf>
    <xf numFmtId="0" fontId="84" fillId="0" borderId="0" xfId="0" applyFont="1" applyFill="1" applyAlignment="1">
      <alignment/>
    </xf>
    <xf numFmtId="0" fontId="85" fillId="0" borderId="13" xfId="0" applyFont="1" applyFill="1" applyBorder="1" applyAlignment="1">
      <alignment horizontal="center" vertical="center" shrinkToFit="1"/>
    </xf>
    <xf numFmtId="0" fontId="85" fillId="0" borderId="13" xfId="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vertical="center" shrinkToFit="1"/>
    </xf>
    <xf numFmtId="0" fontId="82" fillId="0" borderId="14" xfId="0" applyFont="1" applyFill="1" applyBorder="1" applyAlignment="1">
      <alignment horizontal="center" vertical="center"/>
    </xf>
    <xf numFmtId="0" fontId="82" fillId="0" borderId="37" xfId="0" applyFont="1" applyFill="1" applyBorder="1" applyAlignment="1">
      <alignment vertical="center" shrinkToFit="1"/>
    </xf>
    <xf numFmtId="0" fontId="82" fillId="0" borderId="11" xfId="0" applyFont="1" applyFill="1" applyBorder="1" applyAlignment="1">
      <alignment horizontal="center" vertical="center"/>
    </xf>
    <xf numFmtId="179" fontId="82" fillId="0" borderId="11" xfId="0" applyNumberFormat="1" applyFont="1" applyFill="1" applyBorder="1" applyAlignment="1">
      <alignment vertical="center"/>
    </xf>
    <xf numFmtId="0" fontId="82" fillId="0" borderId="11" xfId="0" applyFont="1" applyFill="1" applyBorder="1" applyAlignment="1">
      <alignment vertical="center" shrinkToFit="1"/>
    </xf>
    <xf numFmtId="0" fontId="82" fillId="0" borderId="17" xfId="0" applyFont="1" applyFill="1" applyBorder="1" applyAlignment="1">
      <alignment/>
    </xf>
    <xf numFmtId="0" fontId="82" fillId="0" borderId="33" xfId="0" applyFont="1" applyFill="1" applyBorder="1" applyAlignment="1">
      <alignment vertical="center" wrapText="1"/>
    </xf>
    <xf numFmtId="0" fontId="82" fillId="0" borderId="11" xfId="0" applyFont="1" applyFill="1" applyBorder="1" applyAlignment="1">
      <alignment/>
    </xf>
    <xf numFmtId="0" fontId="82" fillId="0" borderId="53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2" fillId="0" borderId="26" xfId="0" applyFont="1" applyFill="1" applyBorder="1" applyAlignment="1">
      <alignment/>
    </xf>
    <xf numFmtId="0" fontId="82" fillId="0" borderId="34" xfId="0" applyFont="1" applyFill="1" applyBorder="1" applyAlignment="1">
      <alignment vertical="top"/>
    </xf>
    <xf numFmtId="0" fontId="82" fillId="0" borderId="31" xfId="0" applyFont="1" applyFill="1" applyBorder="1" applyAlignment="1">
      <alignment/>
    </xf>
    <xf numFmtId="0" fontId="82" fillId="0" borderId="30" xfId="0" applyFont="1" applyFill="1" applyBorder="1" applyAlignment="1">
      <alignment/>
    </xf>
    <xf numFmtId="0" fontId="86" fillId="0" borderId="0" xfId="68" applyFont="1" applyFill="1">
      <alignment vertical="center"/>
      <protection/>
    </xf>
    <xf numFmtId="38" fontId="86" fillId="0" borderId="0" xfId="50" applyFont="1" applyFill="1" applyAlignment="1">
      <alignment vertical="center"/>
    </xf>
    <xf numFmtId="0" fontId="83" fillId="0" borderId="59" xfId="0" applyFont="1" applyFill="1" applyBorder="1" applyAlignment="1">
      <alignment horizontal="center" vertical="center" shrinkToFit="1"/>
    </xf>
    <xf numFmtId="0" fontId="83" fillId="0" borderId="24" xfId="0" applyFont="1" applyFill="1" applyBorder="1" applyAlignment="1">
      <alignment horizontal="center" vertical="center" shrinkToFit="1"/>
    </xf>
    <xf numFmtId="0" fontId="83" fillId="0" borderId="12" xfId="0" applyFont="1" applyFill="1" applyBorder="1" applyAlignment="1">
      <alignment horizontal="center" vertical="center" shrinkToFit="1"/>
    </xf>
    <xf numFmtId="0" fontId="95" fillId="0" borderId="0" xfId="0" applyFont="1" applyFill="1" applyAlignment="1">
      <alignment vertical="center" shrinkToFit="1"/>
    </xf>
    <xf numFmtId="0" fontId="82" fillId="0" borderId="0" xfId="0" applyFont="1" applyBorder="1" applyAlignment="1">
      <alignment/>
    </xf>
    <xf numFmtId="0" fontId="82" fillId="0" borderId="13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0" fontId="82" fillId="0" borderId="60" xfId="0" applyFont="1" applyBorder="1" applyAlignment="1">
      <alignment horizontal="distributed" vertical="center"/>
    </xf>
    <xf numFmtId="0" fontId="82" fillId="0" borderId="61" xfId="0" applyFont="1" applyBorder="1" applyAlignment="1">
      <alignment horizontal="distributed" vertical="center"/>
    </xf>
    <xf numFmtId="0" fontId="82" fillId="0" borderId="62" xfId="0" applyFont="1" applyBorder="1" applyAlignment="1">
      <alignment horizontal="distributed" vertical="center"/>
    </xf>
    <xf numFmtId="0" fontId="82" fillId="0" borderId="63" xfId="0" applyFont="1" applyBorder="1" applyAlignment="1">
      <alignment horizontal="distributed" vertical="center"/>
    </xf>
    <xf numFmtId="0" fontId="82" fillId="0" borderId="64" xfId="0" applyFont="1" applyFill="1" applyBorder="1" applyAlignment="1">
      <alignment horizontal="distributed" vertical="center"/>
    </xf>
    <xf numFmtId="0" fontId="82" fillId="0" borderId="65" xfId="0" applyFont="1" applyFill="1" applyBorder="1" applyAlignment="1">
      <alignment horizontal="distributed" vertical="center"/>
    </xf>
    <xf numFmtId="0" fontId="82" fillId="0" borderId="61" xfId="0" applyFont="1" applyFill="1" applyBorder="1" applyAlignment="1">
      <alignment horizontal="distributed" vertical="center"/>
    </xf>
    <xf numFmtId="0" fontId="82" fillId="0" borderId="59" xfId="0" applyFont="1" applyFill="1" applyBorder="1" applyAlignment="1">
      <alignment horizontal="distributed" vertical="center"/>
    </xf>
    <xf numFmtId="0" fontId="82" fillId="0" borderId="66" xfId="0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82" fillId="0" borderId="21" xfId="0" applyFont="1" applyFill="1" applyBorder="1" applyAlignment="1">
      <alignment horizontal="center" vertical="center"/>
    </xf>
    <xf numFmtId="0" fontId="82" fillId="0" borderId="35" xfId="0" applyFont="1" applyFill="1" applyBorder="1" applyAlignment="1">
      <alignment horizontal="center" vertical="center"/>
    </xf>
    <xf numFmtId="0" fontId="96" fillId="0" borderId="0" xfId="69" applyFont="1" applyFill="1">
      <alignment/>
      <protection/>
    </xf>
    <xf numFmtId="0" fontId="81" fillId="0" borderId="0" xfId="69" applyFont="1" applyFill="1" applyAlignment="1">
      <alignment horizontal="left"/>
      <protection/>
    </xf>
    <xf numFmtId="0" fontId="81" fillId="0" borderId="0" xfId="69" applyFont="1" applyFill="1" applyAlignment="1">
      <alignment shrinkToFit="1"/>
      <protection/>
    </xf>
    <xf numFmtId="0" fontId="81" fillId="0" borderId="25" xfId="69" applyFont="1" applyFill="1" applyBorder="1" applyAlignment="1">
      <alignment horizontal="center" vertical="center"/>
      <protection/>
    </xf>
    <xf numFmtId="0" fontId="81" fillId="0" borderId="16" xfId="69" applyFont="1" applyFill="1" applyBorder="1" applyAlignment="1">
      <alignment horizontal="center" vertical="center"/>
      <protection/>
    </xf>
    <xf numFmtId="0" fontId="81" fillId="0" borderId="15" xfId="69" applyFont="1" applyFill="1" applyBorder="1" applyAlignment="1">
      <alignment horizontal="center" vertical="center" shrinkToFit="1"/>
      <protection/>
    </xf>
    <xf numFmtId="0" fontId="81" fillId="0" borderId="16" xfId="69" applyFont="1" applyFill="1" applyBorder="1" applyAlignment="1">
      <alignment horizontal="center" vertical="center" wrapText="1"/>
      <protection/>
    </xf>
    <xf numFmtId="0" fontId="81" fillId="0" borderId="17" xfId="69" applyFont="1" applyFill="1" applyBorder="1" applyAlignment="1">
      <alignment horizontal="center" vertical="center" wrapText="1"/>
      <protection/>
    </xf>
    <xf numFmtId="0" fontId="81" fillId="0" borderId="0" xfId="69" applyFont="1" applyFill="1" applyAlignment="1">
      <alignment horizontal="left" vertical="center"/>
      <protection/>
    </xf>
    <xf numFmtId="0" fontId="81" fillId="0" borderId="0" xfId="69" applyFont="1" applyFill="1" applyAlignment="1">
      <alignment vertical="center"/>
      <protection/>
    </xf>
    <xf numFmtId="0" fontId="81" fillId="0" borderId="0" xfId="69" applyFont="1" applyFill="1" applyAlignment="1">
      <alignment vertical="center" shrinkToFit="1"/>
      <protection/>
    </xf>
    <xf numFmtId="38" fontId="85" fillId="0" borderId="13" xfId="50" applyFont="1" applyFill="1" applyBorder="1" applyAlignment="1">
      <alignment vertical="top" textRotation="255"/>
    </xf>
    <xf numFmtId="38" fontId="85" fillId="0" borderId="13" xfId="50" applyFont="1" applyFill="1" applyBorder="1" applyAlignment="1">
      <alignment horizontal="center" vertical="top" textRotation="255"/>
    </xf>
    <xf numFmtId="38" fontId="85" fillId="0" borderId="13" xfId="50" applyFont="1" applyFill="1" applyBorder="1" applyAlignment="1">
      <alignment horizontal="center" vertical="center" wrapText="1"/>
    </xf>
    <xf numFmtId="38" fontId="85" fillId="0" borderId="67" xfId="50" applyFont="1" applyFill="1" applyBorder="1" applyAlignment="1">
      <alignment horizontal="center" vertical="center" wrapText="1"/>
    </xf>
    <xf numFmtId="0" fontId="82" fillId="0" borderId="34" xfId="0" applyFont="1" applyFill="1" applyBorder="1" applyAlignment="1">
      <alignment horizontal="distributed" vertical="center"/>
    </xf>
    <xf numFmtId="38" fontId="13" fillId="0" borderId="16" xfId="50" applyFont="1" applyFill="1" applyBorder="1" applyAlignment="1" applyProtection="1">
      <alignment horizontal="right" vertical="center" shrinkToFit="1"/>
      <protection locked="0"/>
    </xf>
    <xf numFmtId="38" fontId="13" fillId="0" borderId="17" xfId="50" applyFont="1" applyFill="1" applyBorder="1" applyAlignment="1" applyProtection="1">
      <alignment horizontal="right" vertical="center" shrinkToFit="1"/>
      <protection locked="0"/>
    </xf>
    <xf numFmtId="3" fontId="15" fillId="0" borderId="16" xfId="50" applyNumberFormat="1" applyFont="1" applyFill="1" applyBorder="1" applyAlignment="1" applyProtection="1">
      <alignment vertical="center"/>
      <protection/>
    </xf>
    <xf numFmtId="3" fontId="15" fillId="0" borderId="17" xfId="50" applyNumberFormat="1" applyFont="1" applyFill="1" applyBorder="1" applyAlignment="1" applyProtection="1">
      <alignment vertical="center"/>
      <protection/>
    </xf>
    <xf numFmtId="38" fontId="13" fillId="0" borderId="23" xfId="50" applyFont="1" applyFill="1" applyBorder="1" applyAlignment="1">
      <alignment vertical="center"/>
    </xf>
    <xf numFmtId="38" fontId="13" fillId="0" borderId="52" xfId="50" applyFont="1" applyFill="1" applyBorder="1" applyAlignment="1">
      <alignment vertical="center"/>
    </xf>
    <xf numFmtId="38" fontId="13" fillId="0" borderId="68" xfId="5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38" fontId="15" fillId="0" borderId="21" xfId="50" applyFont="1" applyFill="1" applyBorder="1" applyAlignment="1" applyProtection="1">
      <alignment vertical="center"/>
      <protection locked="0"/>
    </xf>
    <xf numFmtId="0" fontId="9" fillId="0" borderId="29" xfId="69" applyFont="1" applyFill="1" applyBorder="1" applyAlignment="1">
      <alignment horizontal="center" vertical="center"/>
      <protection/>
    </xf>
    <xf numFmtId="0" fontId="9" fillId="0" borderId="29" xfId="69" applyFont="1" applyFill="1" applyBorder="1" applyAlignment="1">
      <alignment vertical="center"/>
      <protection/>
    </xf>
    <xf numFmtId="49" fontId="9" fillId="0" borderId="29" xfId="69" applyNumberFormat="1" applyFont="1" applyFill="1" applyBorder="1" applyAlignment="1">
      <alignment vertical="center"/>
      <protection/>
    </xf>
    <xf numFmtId="179" fontId="9" fillId="0" borderId="29" xfId="69" applyNumberFormat="1" applyFont="1" applyFill="1" applyBorder="1">
      <alignment/>
      <protection/>
    </xf>
    <xf numFmtId="179" fontId="9" fillId="0" borderId="55" xfId="69" applyNumberFormat="1" applyFont="1" applyFill="1" applyBorder="1">
      <alignment/>
      <protection/>
    </xf>
    <xf numFmtId="0" fontId="9" fillId="0" borderId="29" xfId="69" applyFont="1" applyFill="1" applyBorder="1" applyAlignment="1">
      <alignment horizontal="left" vertical="top"/>
      <protection/>
    </xf>
    <xf numFmtId="0" fontId="9" fillId="0" borderId="29" xfId="69" applyFont="1" applyFill="1" applyBorder="1" applyAlignment="1">
      <alignment vertical="top" wrapText="1"/>
      <protection/>
    </xf>
    <xf numFmtId="0" fontId="9" fillId="0" borderId="29" xfId="69" applyFont="1" applyFill="1" applyBorder="1" applyAlignment="1">
      <alignment vertical="top"/>
      <protection/>
    </xf>
    <xf numFmtId="49" fontId="9" fillId="0" borderId="29" xfId="69" applyNumberFormat="1" applyFont="1" applyFill="1" applyBorder="1" applyAlignment="1">
      <alignment vertical="top"/>
      <protection/>
    </xf>
    <xf numFmtId="0" fontId="9" fillId="0" borderId="69" xfId="69" applyFont="1" applyFill="1" applyBorder="1" applyAlignment="1">
      <alignment horizontal="left" vertical="center"/>
      <protection/>
    </xf>
    <xf numFmtId="0" fontId="9" fillId="0" borderId="69" xfId="69" applyFont="1" applyFill="1" applyBorder="1" applyAlignment="1">
      <alignment vertical="center"/>
      <protection/>
    </xf>
    <xf numFmtId="49" fontId="9" fillId="0" borderId="69" xfId="69" applyNumberFormat="1" applyFont="1" applyFill="1" applyBorder="1" applyAlignment="1">
      <alignment vertical="center"/>
      <protection/>
    </xf>
    <xf numFmtId="0" fontId="9" fillId="0" borderId="52" xfId="69" applyFont="1" applyFill="1" applyBorder="1" applyAlignment="1">
      <alignment vertical="center" shrinkToFit="1"/>
      <protection/>
    </xf>
    <xf numFmtId="0" fontId="9" fillId="0" borderId="22" xfId="69" applyFont="1" applyFill="1" applyBorder="1" applyAlignment="1">
      <alignment horizontal="center" vertical="center"/>
      <protection/>
    </xf>
    <xf numFmtId="0" fontId="9" fillId="0" borderId="29" xfId="69" applyFont="1" applyFill="1" applyBorder="1" applyAlignment="1">
      <alignment horizontal="left" vertical="top" wrapText="1"/>
      <protection/>
    </xf>
    <xf numFmtId="14" fontId="9" fillId="0" borderId="69" xfId="69" applyNumberFormat="1" applyFont="1" applyFill="1" applyBorder="1" applyAlignment="1">
      <alignment horizontal="left" vertical="center"/>
      <protection/>
    </xf>
    <xf numFmtId="0" fontId="9" fillId="0" borderId="29" xfId="69" applyFont="1" applyFill="1" applyBorder="1" applyAlignment="1">
      <alignment horizontal="left" vertical="center"/>
      <protection/>
    </xf>
    <xf numFmtId="0" fontId="13" fillId="0" borderId="17" xfId="0" applyFont="1" applyFill="1" applyBorder="1" applyAlignment="1">
      <alignment/>
    </xf>
    <xf numFmtId="0" fontId="13" fillId="0" borderId="32" xfId="0" applyFont="1" applyFill="1" applyBorder="1" applyAlignment="1">
      <alignment horizontal="distributed" vertical="center"/>
    </xf>
    <xf numFmtId="0" fontId="13" fillId="0" borderId="66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horizontal="distributed" vertical="center"/>
    </xf>
    <xf numFmtId="0" fontId="13" fillId="0" borderId="35" xfId="0" applyFont="1" applyFill="1" applyBorder="1" applyAlignment="1">
      <alignment vertical="center" shrinkToFit="1"/>
    </xf>
    <xf numFmtId="0" fontId="13" fillId="0" borderId="69" xfId="0" applyFont="1" applyFill="1" applyBorder="1" applyAlignment="1">
      <alignment horizontal="distributed" vertical="center"/>
    </xf>
    <xf numFmtId="0" fontId="13" fillId="0" borderId="68" xfId="0" applyFont="1" applyFill="1" applyBorder="1" applyAlignment="1">
      <alignment vertical="center" shrinkToFit="1"/>
    </xf>
    <xf numFmtId="0" fontId="13" fillId="0" borderId="37" xfId="0" applyFont="1" applyFill="1" applyBorder="1" applyAlignment="1">
      <alignment vertical="center" shrinkToFit="1"/>
    </xf>
    <xf numFmtId="0" fontId="13" fillId="0" borderId="32" xfId="0" applyFont="1" applyFill="1" applyBorder="1" applyAlignment="1">
      <alignment horizontal="distributed" vertical="center" wrapText="1"/>
    </xf>
    <xf numFmtId="0" fontId="13" fillId="0" borderId="18" xfId="0" applyFont="1" applyFill="1" applyBorder="1" applyAlignment="1">
      <alignment horizontal="distributed" vertical="center"/>
    </xf>
    <xf numFmtId="0" fontId="13" fillId="0" borderId="70" xfId="0" applyFont="1" applyFill="1" applyBorder="1" applyAlignment="1">
      <alignment horizontal="distributed" vertical="center"/>
    </xf>
    <xf numFmtId="38" fontId="13" fillId="0" borderId="69" xfId="5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37" fontId="13" fillId="0" borderId="38" xfId="0" applyNumberFormat="1" applyFont="1" applyFill="1" applyBorder="1" applyAlignment="1" applyProtection="1">
      <alignment vertical="center"/>
      <protection/>
    </xf>
    <xf numFmtId="37" fontId="13" fillId="0" borderId="49" xfId="0" applyNumberFormat="1" applyFont="1" applyFill="1" applyBorder="1" applyAlignment="1" applyProtection="1">
      <alignment vertical="center"/>
      <protection/>
    </xf>
    <xf numFmtId="37" fontId="13" fillId="0" borderId="28" xfId="0" applyNumberFormat="1" applyFont="1" applyFill="1" applyBorder="1" applyAlignment="1" applyProtection="1">
      <alignment vertical="center"/>
      <protection/>
    </xf>
    <xf numFmtId="37" fontId="13" fillId="0" borderId="46" xfId="0" applyNumberFormat="1" applyFont="1" applyFill="1" applyBorder="1" applyAlignment="1" applyProtection="1">
      <alignment vertical="center"/>
      <protection/>
    </xf>
    <xf numFmtId="37" fontId="13" fillId="0" borderId="45" xfId="0" applyNumberFormat="1" applyFont="1" applyFill="1" applyBorder="1" applyAlignment="1" applyProtection="1">
      <alignment vertical="center"/>
      <protection/>
    </xf>
    <xf numFmtId="37" fontId="13" fillId="0" borderId="55" xfId="0" applyNumberFormat="1" applyFont="1" applyFill="1" applyBorder="1" applyAlignment="1" applyProtection="1">
      <alignment vertical="center"/>
      <protection/>
    </xf>
    <xf numFmtId="37" fontId="13" fillId="0" borderId="32" xfId="0" applyNumberFormat="1" applyFont="1" applyFill="1" applyBorder="1" applyAlignment="1" applyProtection="1">
      <alignment vertical="center"/>
      <protection/>
    </xf>
    <xf numFmtId="37" fontId="13" fillId="0" borderId="66" xfId="0" applyNumberFormat="1" applyFont="1" applyFill="1" applyBorder="1" applyAlignment="1" applyProtection="1">
      <alignment vertical="center"/>
      <protection/>
    </xf>
    <xf numFmtId="37" fontId="13" fillId="0" borderId="52" xfId="0" applyNumberFormat="1" applyFont="1" applyFill="1" applyBorder="1" applyAlignment="1" applyProtection="1">
      <alignment vertical="center"/>
      <protection/>
    </xf>
    <xf numFmtId="37" fontId="13" fillId="0" borderId="68" xfId="0" applyNumberFormat="1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37" fontId="13" fillId="0" borderId="21" xfId="0" applyNumberFormat="1" applyFont="1" applyFill="1" applyBorder="1" applyAlignment="1" applyProtection="1">
      <alignment vertical="center"/>
      <protection/>
    </xf>
    <xf numFmtId="37" fontId="13" fillId="0" borderId="35" xfId="0" applyNumberFormat="1" applyFont="1" applyFill="1" applyBorder="1" applyAlignment="1" applyProtection="1">
      <alignment vertical="center"/>
      <protection/>
    </xf>
    <xf numFmtId="0" fontId="13" fillId="0" borderId="51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38" fontId="13" fillId="0" borderId="69" xfId="50" applyFont="1" applyFill="1" applyBorder="1" applyAlignment="1" applyProtection="1">
      <alignment horizontal="right" vertical="center" shrinkToFit="1"/>
      <protection locked="0"/>
    </xf>
    <xf numFmtId="0" fontId="13" fillId="0" borderId="52" xfId="0" applyFont="1" applyFill="1" applyBorder="1" applyAlignment="1">
      <alignment horizontal="distributed" vertical="center"/>
    </xf>
    <xf numFmtId="0" fontId="7" fillId="0" borderId="71" xfId="0" applyFont="1" applyFill="1" applyBorder="1" applyAlignment="1">
      <alignment horizontal="center" vertical="center" wrapText="1"/>
    </xf>
    <xf numFmtId="180" fontId="7" fillId="0" borderId="72" xfId="0" applyNumberFormat="1" applyFont="1" applyFill="1" applyBorder="1" applyAlignment="1">
      <alignment vertical="center" wrapText="1"/>
    </xf>
    <xf numFmtId="0" fontId="7" fillId="0" borderId="72" xfId="0" applyFont="1" applyFill="1" applyBorder="1" applyAlignment="1">
      <alignment horizontal="center" vertical="center" wrapText="1"/>
    </xf>
    <xf numFmtId="180" fontId="58" fillId="0" borderId="73" xfId="0" applyNumberFormat="1" applyFont="1" applyFill="1" applyBorder="1" applyAlignment="1">
      <alignment vertical="center" wrapText="1"/>
    </xf>
    <xf numFmtId="0" fontId="7" fillId="0" borderId="73" xfId="0" applyFont="1" applyFill="1" applyBorder="1" applyAlignment="1">
      <alignment horizontal="center" vertical="center" wrapText="1"/>
    </xf>
    <xf numFmtId="180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distributed" vertical="center"/>
    </xf>
    <xf numFmtId="180" fontId="7" fillId="0" borderId="22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180" fontId="58" fillId="0" borderId="77" xfId="0" applyNumberFormat="1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distributed" vertical="center"/>
    </xf>
    <xf numFmtId="180" fontId="7" fillId="0" borderId="1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38" fontId="15" fillId="0" borderId="32" xfId="50" applyFont="1" applyFill="1" applyBorder="1" applyAlignment="1" applyProtection="1">
      <alignment vertical="center"/>
      <protection locked="0"/>
    </xf>
    <xf numFmtId="176" fontId="15" fillId="0" borderId="32" xfId="50" applyNumberFormat="1" applyFont="1" applyFill="1" applyBorder="1" applyAlignment="1" applyProtection="1">
      <alignment vertical="center"/>
      <protection/>
    </xf>
    <xf numFmtId="38" fontId="15" fillId="0" borderId="32" xfId="50" applyNumberFormat="1" applyFont="1" applyFill="1" applyBorder="1" applyAlignment="1" applyProtection="1">
      <alignment horizontal="right" vertical="center"/>
      <protection/>
    </xf>
    <xf numFmtId="38" fontId="15" fillId="0" borderId="32" xfId="50" applyFont="1" applyFill="1" applyBorder="1" applyAlignment="1" applyProtection="1">
      <alignment vertical="center"/>
      <protection/>
    </xf>
    <xf numFmtId="38" fontId="15" fillId="0" borderId="66" xfId="50" applyNumberFormat="1" applyFont="1" applyFill="1" applyBorder="1" applyAlignment="1" applyProtection="1">
      <alignment vertical="center"/>
      <protection/>
    </xf>
    <xf numFmtId="0" fontId="13" fillId="0" borderId="28" xfId="0" applyFont="1" applyFill="1" applyBorder="1" applyAlignment="1">
      <alignment horizontal="distributed" vertical="center"/>
    </xf>
    <xf numFmtId="180" fontId="7" fillId="0" borderId="72" xfId="0" applyNumberFormat="1" applyFont="1" applyFill="1" applyBorder="1" applyAlignment="1">
      <alignment vertical="top" wrapText="1"/>
    </xf>
    <xf numFmtId="3" fontId="34" fillId="0" borderId="32" xfId="0" applyNumberFormat="1" applyFont="1" applyFill="1" applyBorder="1" applyAlignment="1">
      <alignment horizontal="right" vertical="center" shrinkToFit="1"/>
    </xf>
    <xf numFmtId="3" fontId="34" fillId="0" borderId="66" xfId="0" applyNumberFormat="1" applyFont="1" applyFill="1" applyBorder="1" applyAlignment="1">
      <alignment horizontal="right" vertical="center" shrinkToFit="1"/>
    </xf>
    <xf numFmtId="0" fontId="13" fillId="0" borderId="52" xfId="0" applyFont="1" applyFill="1" applyBorder="1" applyAlignment="1">
      <alignment horizontal="distributed" vertical="center" wrapText="1"/>
    </xf>
    <xf numFmtId="38" fontId="13" fillId="0" borderId="14" xfId="50" applyFont="1" applyFill="1" applyBorder="1" applyAlignment="1" applyProtection="1">
      <alignment vertical="center"/>
      <protection/>
    </xf>
    <xf numFmtId="38" fontId="13" fillId="0" borderId="41" xfId="50" applyFont="1" applyFill="1" applyBorder="1" applyAlignment="1" applyProtection="1">
      <alignment horizontal="right" vertical="center"/>
      <protection/>
    </xf>
    <xf numFmtId="38" fontId="13" fillId="0" borderId="37" xfId="50" applyFont="1" applyFill="1" applyBorder="1" applyAlignment="1" applyProtection="1">
      <alignment vertical="center"/>
      <protection/>
    </xf>
    <xf numFmtId="0" fontId="9" fillId="0" borderId="69" xfId="69" applyFont="1" applyFill="1" applyBorder="1" applyAlignment="1">
      <alignment vertical="center" shrinkToFit="1"/>
      <protection/>
    </xf>
    <xf numFmtId="37" fontId="13" fillId="0" borderId="56" xfId="0" applyNumberFormat="1" applyFont="1" applyFill="1" applyBorder="1" applyAlignment="1" applyProtection="1">
      <alignment vertical="center"/>
      <protection/>
    </xf>
    <xf numFmtId="37" fontId="13" fillId="0" borderId="29" xfId="0" applyNumberFormat="1" applyFont="1" applyFill="1" applyBorder="1" applyAlignment="1" applyProtection="1">
      <alignment vertical="center"/>
      <protection/>
    </xf>
    <xf numFmtId="0" fontId="9" fillId="0" borderId="22" xfId="69" applyFont="1" applyFill="1" applyBorder="1" applyAlignment="1">
      <alignment vertical="center"/>
      <protection/>
    </xf>
    <xf numFmtId="49" fontId="9" fillId="0" borderId="22" xfId="69" applyNumberFormat="1" applyFont="1" applyFill="1" applyBorder="1" applyAlignment="1">
      <alignment vertical="center"/>
      <protection/>
    </xf>
    <xf numFmtId="0" fontId="9" fillId="0" borderId="38" xfId="69" applyFont="1" applyFill="1" applyBorder="1" applyAlignment="1">
      <alignment vertical="center" wrapText="1"/>
      <protection/>
    </xf>
    <xf numFmtId="0" fontId="9" fillId="0" borderId="45" xfId="69" applyFont="1" applyFill="1" applyBorder="1" applyAlignment="1">
      <alignment vertical="center" shrinkToFit="1"/>
      <protection/>
    </xf>
    <xf numFmtId="38" fontId="15" fillId="0" borderId="28" xfId="50" applyFont="1" applyFill="1" applyBorder="1" applyAlignment="1" applyProtection="1">
      <alignment horizontal="right"/>
      <protection/>
    </xf>
    <xf numFmtId="209" fontId="15" fillId="0" borderId="52" xfId="50" applyNumberFormat="1" applyFont="1" applyFill="1" applyBorder="1" applyAlignment="1" applyProtection="1">
      <alignment/>
      <protection/>
    </xf>
    <xf numFmtId="209" fontId="15" fillId="0" borderId="52" xfId="50" applyNumberFormat="1" applyFont="1" applyFill="1" applyBorder="1" applyAlignment="1" applyProtection="1">
      <alignment horizontal="right"/>
      <protection/>
    </xf>
    <xf numFmtId="38" fontId="15" fillId="0" borderId="78" xfId="50" applyFont="1" applyFill="1" applyBorder="1" applyAlignment="1" applyProtection="1">
      <alignment horizontal="right"/>
      <protection/>
    </xf>
    <xf numFmtId="209" fontId="15" fillId="0" borderId="79" xfId="50" applyNumberFormat="1" applyFont="1" applyFill="1" applyBorder="1" applyAlignment="1" applyProtection="1">
      <alignment horizontal="right"/>
      <protection/>
    </xf>
    <xf numFmtId="38" fontId="15" fillId="0" borderId="80" xfId="50" applyFont="1" applyFill="1" applyBorder="1" applyAlignment="1" applyProtection="1">
      <alignment horizontal="right"/>
      <protection/>
    </xf>
    <xf numFmtId="209" fontId="15" fillId="0" borderId="81" xfId="50" applyNumberFormat="1" applyFont="1" applyFill="1" applyBorder="1" applyAlignment="1" applyProtection="1">
      <alignment horizontal="right"/>
      <protection/>
    </xf>
    <xf numFmtId="38" fontId="15" fillId="0" borderId="82" xfId="50" applyFont="1" applyFill="1" applyBorder="1" applyAlignment="1" applyProtection="1">
      <alignment horizontal="right"/>
      <protection/>
    </xf>
    <xf numFmtId="209" fontId="15" fillId="0" borderId="83" xfId="50" applyNumberFormat="1" applyFont="1" applyFill="1" applyBorder="1" applyAlignment="1" applyProtection="1">
      <alignment horizontal="right"/>
      <protection/>
    </xf>
    <xf numFmtId="38" fontId="15" fillId="0" borderId="46" xfId="50" applyFont="1" applyFill="1" applyBorder="1" applyAlignment="1" applyProtection="1">
      <alignment horizontal="right"/>
      <protection/>
    </xf>
    <xf numFmtId="209" fontId="15" fillId="0" borderId="68" xfId="50" applyNumberFormat="1" applyFont="1" applyFill="1" applyBorder="1" applyAlignment="1" applyProtection="1">
      <alignment horizontal="right"/>
      <protection/>
    </xf>
    <xf numFmtId="38" fontId="13" fillId="0" borderId="69" xfId="50" applyFont="1" applyFill="1" applyBorder="1" applyAlignment="1" applyProtection="1">
      <alignment horizontal="center" vertical="center"/>
      <protection locked="0"/>
    </xf>
    <xf numFmtId="38" fontId="13" fillId="0" borderId="69" xfId="50" applyFont="1" applyFill="1" applyBorder="1" applyAlignment="1" applyProtection="1">
      <alignment vertical="center"/>
      <protection locked="0"/>
    </xf>
    <xf numFmtId="0" fontId="13" fillId="0" borderId="83" xfId="50" applyNumberFormat="1" applyFont="1" applyFill="1" applyBorder="1" applyAlignment="1" applyProtection="1">
      <alignment vertical="center"/>
      <protection locked="0"/>
    </xf>
    <xf numFmtId="0" fontId="13" fillId="0" borderId="52" xfId="50" applyNumberFormat="1" applyFont="1" applyFill="1" applyBorder="1" applyAlignment="1" applyProtection="1">
      <alignment vertical="center"/>
      <protection locked="0"/>
    </xf>
    <xf numFmtId="182" fontId="13" fillId="0" borderId="84" xfId="50" applyNumberFormat="1" applyFont="1" applyFill="1" applyBorder="1" applyAlignment="1" applyProtection="1">
      <alignment vertical="center"/>
      <protection locked="0"/>
    </xf>
    <xf numFmtId="3" fontId="13" fillId="0" borderId="52" xfId="50" applyNumberFormat="1" applyFont="1" applyFill="1" applyBorder="1" applyAlignment="1" applyProtection="1">
      <alignment vertical="center"/>
      <protection/>
    </xf>
    <xf numFmtId="176" fontId="13" fillId="0" borderId="68" xfId="50" applyNumberFormat="1" applyFont="1" applyFill="1" applyBorder="1" applyAlignment="1" applyProtection="1">
      <alignment vertical="center"/>
      <protection/>
    </xf>
    <xf numFmtId="38" fontId="13" fillId="0" borderId="52" xfId="50" applyFont="1" applyFill="1" applyBorder="1" applyAlignment="1" applyProtection="1">
      <alignment horizontal="right" vertical="center" shrinkToFit="1"/>
      <protection/>
    </xf>
    <xf numFmtId="38" fontId="13" fillId="0" borderId="68" xfId="50" applyFont="1" applyFill="1" applyBorder="1" applyAlignment="1" applyProtection="1">
      <alignment horizontal="right" vertical="center" shrinkToFit="1"/>
      <protection/>
    </xf>
    <xf numFmtId="38" fontId="13" fillId="0" borderId="21" xfId="50" applyFont="1" applyFill="1" applyBorder="1" applyAlignment="1" applyProtection="1">
      <alignment horizontal="right" vertical="center" shrinkToFit="1"/>
      <protection locked="0"/>
    </xf>
    <xf numFmtId="3" fontId="15" fillId="0" borderId="70" xfId="70" applyNumberFormat="1" applyFont="1" applyFill="1" applyBorder="1" applyAlignment="1">
      <alignment vertical="center"/>
      <protection/>
    </xf>
    <xf numFmtId="3" fontId="15" fillId="0" borderId="21" xfId="50" applyNumberFormat="1" applyFont="1" applyFill="1" applyBorder="1" applyAlignment="1" applyProtection="1">
      <alignment vertical="center"/>
      <protection/>
    </xf>
    <xf numFmtId="3" fontId="15" fillId="0" borderId="21" xfId="70" applyNumberFormat="1" applyFont="1" applyFill="1" applyBorder="1" applyAlignment="1">
      <alignment vertical="center"/>
      <protection/>
    </xf>
    <xf numFmtId="3" fontId="15" fillId="0" borderId="35" xfId="50" applyNumberFormat="1" applyFont="1" applyFill="1" applyBorder="1" applyAlignment="1" applyProtection="1">
      <alignment vertical="center"/>
      <protection/>
    </xf>
    <xf numFmtId="38" fontId="13" fillId="0" borderId="21" xfId="50" applyFont="1" applyFill="1" applyBorder="1" applyAlignment="1" applyProtection="1">
      <alignment vertical="center"/>
      <protection/>
    </xf>
    <xf numFmtId="38" fontId="13" fillId="0" borderId="21" xfId="50" applyFont="1" applyFill="1" applyBorder="1" applyAlignment="1" applyProtection="1">
      <alignment horizontal="right" vertical="center"/>
      <protection/>
    </xf>
    <xf numFmtId="38" fontId="13" fillId="0" borderId="35" xfId="50" applyFont="1" applyFill="1" applyBorder="1" applyAlignment="1" applyProtection="1">
      <alignment horizontal="right" vertical="center"/>
      <protection/>
    </xf>
    <xf numFmtId="38" fontId="13" fillId="0" borderId="69" xfId="50" applyFont="1" applyFill="1" applyBorder="1" applyAlignment="1" applyProtection="1">
      <alignment vertical="center"/>
      <protection/>
    </xf>
    <xf numFmtId="38" fontId="13" fillId="0" borderId="52" xfId="50" applyFont="1" applyFill="1" applyBorder="1" applyAlignment="1" applyProtection="1">
      <alignment vertical="center"/>
      <protection/>
    </xf>
    <xf numFmtId="38" fontId="13" fillId="0" borderId="52" xfId="50" applyFont="1" applyFill="1" applyBorder="1" applyAlignment="1" applyProtection="1">
      <alignment horizontal="right" vertical="center"/>
      <protection/>
    </xf>
    <xf numFmtId="38" fontId="13" fillId="0" borderId="68" xfId="50" applyFont="1" applyFill="1" applyBorder="1" applyAlignment="1" applyProtection="1">
      <alignment vertical="center"/>
      <protection/>
    </xf>
    <xf numFmtId="37" fontId="13" fillId="0" borderId="22" xfId="0" applyNumberFormat="1" applyFont="1" applyFill="1" applyBorder="1" applyAlignment="1" applyProtection="1">
      <alignment vertical="center"/>
      <protection/>
    </xf>
    <xf numFmtId="38" fontId="15" fillId="0" borderId="45" xfId="50" applyFont="1" applyFill="1" applyBorder="1" applyAlignment="1" applyProtection="1">
      <alignment/>
      <protection/>
    </xf>
    <xf numFmtId="38" fontId="15" fillId="0" borderId="45" xfId="50" applyFont="1" applyFill="1" applyBorder="1" applyAlignment="1" applyProtection="1">
      <alignment horizontal="right"/>
      <protection/>
    </xf>
    <xf numFmtId="38" fontId="15" fillId="0" borderId="85" xfId="50" applyFont="1" applyFill="1" applyBorder="1" applyAlignment="1" applyProtection="1">
      <alignment horizontal="right"/>
      <protection/>
    </xf>
    <xf numFmtId="38" fontId="15" fillId="0" borderId="86" xfId="50" applyFont="1" applyFill="1" applyBorder="1" applyAlignment="1" applyProtection="1">
      <alignment horizontal="right"/>
      <protection/>
    </xf>
    <xf numFmtId="38" fontId="15" fillId="0" borderId="55" xfId="50" applyFont="1" applyFill="1" applyBorder="1" applyAlignment="1" applyProtection="1">
      <alignment horizontal="right"/>
      <protection/>
    </xf>
    <xf numFmtId="38" fontId="13" fillId="0" borderId="21" xfId="50" applyFont="1" applyFill="1" applyBorder="1" applyAlignment="1" applyProtection="1">
      <alignment horizontal="center" vertical="center"/>
      <protection locked="0"/>
    </xf>
    <xf numFmtId="38" fontId="13" fillId="0" borderId="69" xfId="50" applyFont="1" applyFill="1" applyBorder="1" applyAlignment="1" applyProtection="1">
      <alignment horizontal="right" vertical="center"/>
      <protection locked="0"/>
    </xf>
    <xf numFmtId="0" fontId="13" fillId="0" borderId="52" xfId="50" applyNumberFormat="1" applyFont="1" applyFill="1" applyBorder="1" applyAlignment="1" applyProtection="1">
      <alignment horizontal="right" vertical="center"/>
      <protection locked="0"/>
    </xf>
    <xf numFmtId="3" fontId="13" fillId="0" borderId="52" xfId="50" applyNumberFormat="1" applyFont="1" applyFill="1" applyBorder="1" applyAlignment="1" applyProtection="1">
      <alignment horizontal="right" vertical="center"/>
      <protection/>
    </xf>
    <xf numFmtId="176" fontId="13" fillId="0" borderId="68" xfId="50" applyNumberFormat="1" applyFont="1" applyFill="1" applyBorder="1" applyAlignment="1" applyProtection="1">
      <alignment horizontal="right" vertical="center"/>
      <protection/>
    </xf>
    <xf numFmtId="38" fontId="13" fillId="0" borderId="22" xfId="50" applyFont="1" applyFill="1" applyBorder="1" applyAlignment="1" applyProtection="1">
      <alignment horizontal="right" vertical="center" shrinkToFit="1"/>
      <protection locked="0"/>
    </xf>
    <xf numFmtId="3" fontId="15" fillId="0" borderId="22" xfId="50" applyNumberFormat="1" applyFont="1" applyFill="1" applyBorder="1" applyAlignment="1" applyProtection="1">
      <alignment vertical="center"/>
      <protection/>
    </xf>
    <xf numFmtId="0" fontId="14" fillId="0" borderId="68" xfId="0" applyFont="1" applyFill="1" applyBorder="1" applyAlignment="1">
      <alignment vertical="center" wrapText="1" shrinkToFit="1"/>
    </xf>
    <xf numFmtId="0" fontId="9" fillId="0" borderId="28" xfId="69" applyFont="1" applyFill="1" applyBorder="1" applyAlignment="1">
      <alignment vertical="center" shrinkToFit="1"/>
      <protection/>
    </xf>
    <xf numFmtId="56" fontId="9" fillId="0" borderId="52" xfId="69" applyNumberFormat="1" applyFont="1" applyFill="1" applyBorder="1" applyAlignment="1">
      <alignment vertical="center" shrinkToFit="1"/>
      <protection/>
    </xf>
    <xf numFmtId="0" fontId="9" fillId="0" borderId="45" xfId="69" applyFont="1" applyFill="1" applyBorder="1" applyAlignment="1">
      <alignment vertical="center" wrapText="1"/>
      <protection/>
    </xf>
    <xf numFmtId="38" fontId="15" fillId="0" borderId="38" xfId="50" applyFont="1" applyFill="1" applyBorder="1" applyAlignment="1" applyProtection="1">
      <alignment/>
      <protection/>
    </xf>
    <xf numFmtId="38" fontId="15" fillId="0" borderId="38" xfId="50" applyFont="1" applyFill="1" applyBorder="1" applyAlignment="1" applyProtection="1">
      <alignment horizontal="right"/>
      <protection/>
    </xf>
    <xf numFmtId="38" fontId="15" fillId="0" borderId="39" xfId="50" applyFont="1" applyFill="1" applyBorder="1" applyAlignment="1" applyProtection="1">
      <alignment horizontal="right"/>
      <protection/>
    </xf>
    <xf numFmtId="38" fontId="15" fillId="0" borderId="40" xfId="50" applyFont="1" applyFill="1" applyBorder="1" applyAlignment="1" applyProtection="1">
      <alignment horizontal="right"/>
      <protection/>
    </xf>
    <xf numFmtId="38" fontId="15" fillId="0" borderId="11" xfId="50" applyFont="1" applyFill="1" applyBorder="1" applyAlignment="1" applyProtection="1">
      <alignment horizontal="right"/>
      <protection/>
    </xf>
    <xf numFmtId="38" fontId="15" fillId="0" borderId="49" xfId="50" applyFont="1" applyFill="1" applyBorder="1" applyAlignment="1" applyProtection="1">
      <alignment horizontal="right"/>
      <protection/>
    </xf>
    <xf numFmtId="38" fontId="13" fillId="0" borderId="32" xfId="50" applyFont="1" applyFill="1" applyBorder="1" applyAlignment="1" applyProtection="1">
      <alignment horizontal="center" vertical="center"/>
      <protection locked="0"/>
    </xf>
    <xf numFmtId="38" fontId="13" fillId="0" borderId="32" xfId="50" applyFont="1" applyFill="1" applyBorder="1" applyAlignment="1" applyProtection="1">
      <alignment vertical="center"/>
      <protection locked="0"/>
    </xf>
    <xf numFmtId="0" fontId="13" fillId="0" borderId="57" xfId="50" applyNumberFormat="1" applyFont="1" applyFill="1" applyBorder="1" applyAlignment="1" applyProtection="1">
      <alignment vertical="center"/>
      <protection locked="0"/>
    </xf>
    <xf numFmtId="182" fontId="13" fillId="0" borderId="58" xfId="50" applyNumberFormat="1" applyFont="1" applyFill="1" applyBorder="1" applyAlignment="1" applyProtection="1">
      <alignment vertical="center"/>
      <protection locked="0"/>
    </xf>
    <xf numFmtId="3" fontId="13" fillId="0" borderId="51" xfId="50" applyNumberFormat="1" applyFont="1" applyFill="1" applyBorder="1" applyAlignment="1" applyProtection="1">
      <alignment vertical="center"/>
      <protection/>
    </xf>
    <xf numFmtId="176" fontId="13" fillId="0" borderId="66" xfId="50" applyNumberFormat="1" applyFont="1" applyFill="1" applyBorder="1" applyAlignment="1" applyProtection="1">
      <alignment vertical="center"/>
      <protection/>
    </xf>
    <xf numFmtId="0" fontId="15" fillId="0" borderId="21" xfId="0" applyFont="1" applyFill="1" applyBorder="1" applyAlignment="1">
      <alignment horizontal="distributed" vertical="center"/>
    </xf>
    <xf numFmtId="0" fontId="15" fillId="0" borderId="70" xfId="0" applyFont="1" applyFill="1" applyBorder="1" applyAlignment="1">
      <alignment horizontal="distributed" vertical="center"/>
    </xf>
    <xf numFmtId="0" fontId="7" fillId="0" borderId="71" xfId="0" applyFont="1" applyFill="1" applyBorder="1" applyAlignment="1">
      <alignment horizontal="left" vertical="center" wrapText="1"/>
    </xf>
    <xf numFmtId="180" fontId="33" fillId="0" borderId="73" xfId="0" applyNumberFormat="1" applyFont="1" applyFill="1" applyBorder="1" applyAlignment="1">
      <alignment vertical="center" wrapText="1"/>
    </xf>
    <xf numFmtId="38" fontId="13" fillId="0" borderId="32" xfId="50" applyFont="1" applyFill="1" applyBorder="1" applyAlignment="1" applyProtection="1">
      <alignment horizontal="right" vertical="center" shrinkToFit="1"/>
      <protection locked="0"/>
    </xf>
    <xf numFmtId="38" fontId="13" fillId="0" borderId="51" xfId="50" applyFont="1" applyFill="1" applyBorder="1" applyAlignment="1" applyProtection="1">
      <alignment horizontal="right" vertical="center" shrinkToFit="1"/>
      <protection/>
    </xf>
    <xf numFmtId="38" fontId="13" fillId="0" borderId="66" xfId="50" applyFont="1" applyFill="1" applyBorder="1" applyAlignment="1" applyProtection="1">
      <alignment horizontal="right" vertical="center" shrinkToFit="1"/>
      <protection/>
    </xf>
    <xf numFmtId="0" fontId="9" fillId="0" borderId="22" xfId="69" applyFont="1" applyFill="1" applyBorder="1" applyAlignment="1">
      <alignment vertical="center" wrapText="1"/>
      <protection/>
    </xf>
    <xf numFmtId="0" fontId="9" fillId="0" borderId="29" xfId="69" applyFont="1" applyFill="1" applyBorder="1" applyAlignment="1">
      <alignment vertical="center" wrapText="1"/>
      <protection/>
    </xf>
    <xf numFmtId="0" fontId="9" fillId="0" borderId="69" xfId="69" applyFont="1" applyFill="1" applyBorder="1" applyAlignment="1">
      <alignment vertical="center" wrapText="1"/>
      <protection/>
    </xf>
    <xf numFmtId="0" fontId="13" fillId="0" borderId="83" xfId="50" applyNumberFormat="1" applyFont="1" applyFill="1" applyBorder="1" applyAlignment="1" applyProtection="1">
      <alignment vertical="center"/>
      <protection/>
    </xf>
    <xf numFmtId="0" fontId="13" fillId="0" borderId="52" xfId="50" applyNumberFormat="1" applyFont="1" applyFill="1" applyBorder="1" applyAlignment="1" applyProtection="1">
      <alignment vertical="center"/>
      <protection/>
    </xf>
    <xf numFmtId="182" fontId="13" fillId="0" borderId="84" xfId="50" applyNumberFormat="1" applyFont="1" applyFill="1" applyBorder="1" applyAlignment="1" applyProtection="1">
      <alignment vertical="center"/>
      <protection/>
    </xf>
    <xf numFmtId="38" fontId="13" fillId="0" borderId="69" xfId="50" applyFont="1" applyFill="1" applyBorder="1" applyAlignment="1" applyProtection="1">
      <alignment horizontal="right" vertical="center" shrinkToFit="1"/>
      <protection/>
    </xf>
    <xf numFmtId="38" fontId="13" fillId="0" borderId="21" xfId="50" applyFont="1" applyFill="1" applyBorder="1" applyAlignment="1" applyProtection="1">
      <alignment horizontal="right" vertical="center" shrinkToFit="1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83" xfId="0" applyNumberFormat="1" applyFont="1" applyFill="1" applyBorder="1" applyAlignment="1" applyProtection="1">
      <alignment vertical="center"/>
      <protection/>
    </xf>
    <xf numFmtId="0" fontId="9" fillId="0" borderId="14" xfId="69" applyFont="1" applyFill="1" applyBorder="1" applyAlignment="1">
      <alignment horizontal="left" vertical="center"/>
      <protection/>
    </xf>
    <xf numFmtId="0" fontId="9" fillId="0" borderId="14" xfId="69" applyFont="1" applyFill="1" applyBorder="1" applyAlignment="1">
      <alignment vertical="center"/>
      <protection/>
    </xf>
    <xf numFmtId="49" fontId="9" fillId="0" borderId="14" xfId="69" applyNumberFormat="1" applyFont="1" applyFill="1" applyBorder="1" applyAlignment="1">
      <alignment vertical="center"/>
      <protection/>
    </xf>
    <xf numFmtId="0" fontId="9" fillId="0" borderId="41" xfId="69" applyFont="1" applyFill="1" applyBorder="1" applyAlignment="1">
      <alignment vertical="center" shrinkToFit="1"/>
      <protection/>
    </xf>
    <xf numFmtId="179" fontId="9" fillId="0" borderId="14" xfId="69" applyNumberFormat="1" applyFont="1" applyFill="1" applyBorder="1">
      <alignment/>
      <protection/>
    </xf>
    <xf numFmtId="179" fontId="9" fillId="0" borderId="37" xfId="69" applyNumberFormat="1" applyFont="1" applyFill="1" applyBorder="1">
      <alignment/>
      <protection/>
    </xf>
    <xf numFmtId="38" fontId="13" fillId="0" borderId="32" xfId="50" applyFont="1" applyFill="1" applyBorder="1" applyAlignment="1" applyProtection="1">
      <alignment horizontal="right" vertical="center" shrinkToFit="1"/>
      <protection/>
    </xf>
    <xf numFmtId="3" fontId="15" fillId="0" borderId="58" xfId="70" applyNumberFormat="1" applyFont="1" applyFill="1" applyBorder="1" applyAlignment="1">
      <alignment vertical="center"/>
      <protection/>
    </xf>
    <xf numFmtId="3" fontId="15" fillId="0" borderId="32" xfId="70" applyNumberFormat="1" applyFont="1" applyFill="1" applyBorder="1" applyAlignment="1">
      <alignment vertical="center"/>
      <protection/>
    </xf>
    <xf numFmtId="3" fontId="15" fillId="0" borderId="32" xfId="50" applyNumberFormat="1" applyFont="1" applyFill="1" applyBorder="1" applyAlignment="1" applyProtection="1">
      <alignment vertical="center"/>
      <protection/>
    </xf>
    <xf numFmtId="3" fontId="15" fillId="0" borderId="66" xfId="50" applyNumberFormat="1" applyFont="1" applyFill="1" applyBorder="1" applyAlignment="1" applyProtection="1">
      <alignment vertical="center"/>
      <protection/>
    </xf>
    <xf numFmtId="38" fontId="13" fillId="0" borderId="32" xfId="50" applyFont="1" applyFill="1" applyBorder="1" applyAlignment="1" applyProtection="1">
      <alignment vertical="center"/>
      <protection/>
    </xf>
    <xf numFmtId="38" fontId="13" fillId="0" borderId="32" xfId="50" applyFont="1" applyFill="1" applyBorder="1" applyAlignment="1" applyProtection="1">
      <alignment horizontal="right" vertical="center"/>
      <protection/>
    </xf>
    <xf numFmtId="38" fontId="13" fillId="0" borderId="66" xfId="50" applyFont="1" applyFill="1" applyBorder="1" applyAlignment="1" applyProtection="1">
      <alignment horizontal="right" vertical="center"/>
      <protection/>
    </xf>
    <xf numFmtId="38" fontId="13" fillId="0" borderId="51" xfId="50" applyFont="1" applyFill="1" applyBorder="1" applyAlignment="1" applyProtection="1">
      <alignment vertical="center"/>
      <protection/>
    </xf>
    <xf numFmtId="38" fontId="13" fillId="0" borderId="51" xfId="50" applyFont="1" applyFill="1" applyBorder="1" applyAlignment="1" applyProtection="1">
      <alignment horizontal="right" vertical="center"/>
      <protection/>
    </xf>
    <xf numFmtId="38" fontId="13" fillId="0" borderId="66" xfId="50" applyFont="1" applyFill="1" applyBorder="1" applyAlignment="1" applyProtection="1">
      <alignment vertical="center"/>
      <protection/>
    </xf>
    <xf numFmtId="37" fontId="13" fillId="0" borderId="69" xfId="0" applyNumberFormat="1" applyFont="1" applyFill="1" applyBorder="1" applyAlignment="1" applyProtection="1">
      <alignment vertical="center"/>
      <protection/>
    </xf>
    <xf numFmtId="3" fontId="15" fillId="0" borderId="70" xfId="50" applyNumberFormat="1" applyFont="1" applyFill="1" applyBorder="1" applyAlignment="1" applyProtection="1">
      <alignment vertical="center"/>
      <protection/>
    </xf>
    <xf numFmtId="0" fontId="9" fillId="0" borderId="28" xfId="69" applyFont="1" applyFill="1" applyBorder="1" applyAlignment="1">
      <alignment vertical="center" wrapText="1"/>
      <protection/>
    </xf>
    <xf numFmtId="38" fontId="13" fillId="0" borderId="69" xfId="50" applyFont="1" applyFill="1" applyBorder="1" applyAlignment="1" applyProtection="1">
      <alignment horizontal="right" vertical="center"/>
      <protection/>
    </xf>
    <xf numFmtId="38" fontId="13" fillId="0" borderId="68" xfId="50" applyFont="1" applyFill="1" applyBorder="1" applyAlignment="1" applyProtection="1">
      <alignment horizontal="right" vertical="center"/>
      <protection/>
    </xf>
    <xf numFmtId="0" fontId="13" fillId="0" borderId="35" xfId="0" applyFont="1" applyFill="1" applyBorder="1" applyAlignment="1">
      <alignment vertical="center" wrapText="1" shrinkToFit="1"/>
    </xf>
    <xf numFmtId="3" fontId="15" fillId="0" borderId="76" xfId="70" applyNumberFormat="1" applyFont="1" applyFill="1" applyBorder="1" applyAlignment="1">
      <alignment vertical="center"/>
      <protection/>
    </xf>
    <xf numFmtId="3" fontId="15" fillId="0" borderId="22" xfId="70" applyNumberFormat="1" applyFont="1" applyFill="1" applyBorder="1" applyAlignment="1">
      <alignment vertical="center"/>
      <protection/>
    </xf>
    <xf numFmtId="3" fontId="15" fillId="0" borderId="46" xfId="50" applyNumberFormat="1" applyFont="1" applyFill="1" applyBorder="1" applyAlignment="1" applyProtection="1">
      <alignment vertical="center"/>
      <protection/>
    </xf>
    <xf numFmtId="38" fontId="13" fillId="0" borderId="29" xfId="50" applyFont="1" applyFill="1" applyBorder="1" applyAlignment="1" applyProtection="1">
      <alignment vertical="center"/>
      <protection/>
    </xf>
    <xf numFmtId="38" fontId="13" fillId="0" borderId="29" xfId="50" applyFont="1" applyFill="1" applyBorder="1" applyAlignment="1" applyProtection="1">
      <alignment horizontal="right" vertical="center"/>
      <protection/>
    </xf>
    <xf numFmtId="38" fontId="13" fillId="0" borderId="55" xfId="50" applyFont="1" applyFill="1" applyBorder="1" applyAlignment="1" applyProtection="1">
      <alignment horizontal="right" vertical="center"/>
      <protection/>
    </xf>
    <xf numFmtId="37" fontId="13" fillId="0" borderId="82" xfId="0" applyNumberFormat="1" applyFont="1" applyFill="1" applyBorder="1" applyAlignment="1" applyProtection="1">
      <alignment vertical="center"/>
      <protection/>
    </xf>
    <xf numFmtId="56" fontId="9" fillId="0" borderId="45" xfId="69" applyNumberFormat="1" applyFont="1" applyFill="1" applyBorder="1" applyAlignment="1">
      <alignment vertical="center" shrinkToFit="1"/>
      <protection/>
    </xf>
    <xf numFmtId="38" fontId="13" fillId="0" borderId="45" xfId="50" applyFont="1" applyFill="1" applyBorder="1" applyAlignment="1" applyProtection="1">
      <alignment vertical="center"/>
      <protection/>
    </xf>
    <xf numFmtId="38" fontId="13" fillId="0" borderId="45" xfId="50" applyFont="1" applyFill="1" applyBorder="1" applyAlignment="1" applyProtection="1">
      <alignment horizontal="right" vertical="center"/>
      <protection/>
    </xf>
    <xf numFmtId="38" fontId="13" fillId="0" borderId="55" xfId="50" applyFont="1" applyFill="1" applyBorder="1" applyAlignment="1" applyProtection="1">
      <alignment vertical="center"/>
      <protection/>
    </xf>
    <xf numFmtId="49" fontId="9" fillId="0" borderId="28" xfId="69" applyNumberFormat="1" applyFont="1" applyFill="1" applyBorder="1" applyAlignment="1">
      <alignment vertical="center"/>
      <protection/>
    </xf>
    <xf numFmtId="49" fontId="9" fillId="0" borderId="45" xfId="69" applyNumberFormat="1" applyFont="1" applyFill="1" applyBorder="1" applyAlignment="1">
      <alignment vertical="center"/>
      <protection/>
    </xf>
    <xf numFmtId="49" fontId="9" fillId="0" borderId="52" xfId="69" applyNumberFormat="1" applyFont="1" applyFill="1" applyBorder="1" applyAlignment="1">
      <alignment vertical="center"/>
      <protection/>
    </xf>
    <xf numFmtId="37" fontId="13" fillId="0" borderId="45" xfId="0" applyNumberFormat="1" applyFont="1" applyFill="1" applyBorder="1" applyAlignment="1" applyProtection="1">
      <alignment horizontal="right" vertical="center"/>
      <protection/>
    </xf>
    <xf numFmtId="187" fontId="9" fillId="0" borderId="52" xfId="69" applyNumberFormat="1" applyFont="1" applyFill="1" applyBorder="1" applyAlignment="1">
      <alignment vertical="top" shrinkToFit="1"/>
      <protection/>
    </xf>
    <xf numFmtId="38" fontId="13" fillId="0" borderId="35" xfId="50" applyFont="1" applyFill="1" applyBorder="1" applyAlignment="1" applyProtection="1">
      <alignment vertical="center"/>
      <protection/>
    </xf>
    <xf numFmtId="37" fontId="13" fillId="0" borderId="45" xfId="0" applyNumberFormat="1" applyFont="1" applyFill="1" applyBorder="1" applyAlignment="1" applyProtection="1">
      <alignment horizontal="right" vertical="center" wrapText="1"/>
      <protection/>
    </xf>
    <xf numFmtId="0" fontId="13" fillId="0" borderId="83" xfId="50" applyNumberFormat="1" applyFont="1" applyFill="1" applyBorder="1" applyAlignment="1" applyProtection="1">
      <alignment horizontal="right" vertical="center"/>
      <protection/>
    </xf>
    <xf numFmtId="38" fontId="13" fillId="0" borderId="23" xfId="50" applyFont="1" applyFill="1" applyBorder="1" applyAlignment="1" applyProtection="1">
      <alignment vertical="center"/>
      <protection/>
    </xf>
    <xf numFmtId="38" fontId="13" fillId="0" borderId="69" xfId="50" applyNumberFormat="1" applyFont="1" applyFill="1" applyBorder="1" applyAlignment="1" applyProtection="1">
      <alignment horizontal="right" vertical="center" shrinkToFit="1"/>
      <protection locked="0"/>
    </xf>
    <xf numFmtId="3" fontId="15" fillId="0" borderId="56" xfId="50" applyNumberFormat="1" applyFont="1" applyFill="1" applyBorder="1" applyAlignment="1" applyProtection="1">
      <alignment vertical="center"/>
      <protection/>
    </xf>
    <xf numFmtId="3" fontId="15" fillId="0" borderId="49" xfId="50" applyNumberFormat="1" applyFont="1" applyFill="1" applyBorder="1" applyAlignment="1" applyProtection="1">
      <alignment vertical="center"/>
      <protection/>
    </xf>
    <xf numFmtId="0" fontId="9" fillId="0" borderId="0" xfId="69" applyFont="1" applyFill="1" applyBorder="1" applyAlignment="1">
      <alignment vertical="center"/>
      <protection/>
    </xf>
    <xf numFmtId="38" fontId="13" fillId="0" borderId="23" xfId="50" applyFont="1" applyFill="1" applyBorder="1" applyAlignment="1" applyProtection="1">
      <alignment horizontal="right" vertical="center"/>
      <protection/>
    </xf>
    <xf numFmtId="3" fontId="34" fillId="0" borderId="87" xfId="0" applyNumberFormat="1" applyFont="1" applyFill="1" applyBorder="1" applyAlignment="1">
      <alignment horizontal="right" vertical="center" shrinkToFit="1"/>
    </xf>
    <xf numFmtId="3" fontId="34" fillId="0" borderId="58" xfId="0" applyNumberFormat="1" applyFont="1" applyFill="1" applyBorder="1" applyAlignment="1">
      <alignment horizontal="right" vertical="center" shrinkToFit="1"/>
    </xf>
    <xf numFmtId="3" fontId="34" fillId="0" borderId="51" xfId="0" applyNumberFormat="1" applyFont="1" applyFill="1" applyBorder="1" applyAlignment="1">
      <alignment horizontal="right" vertical="center" shrinkToFit="1"/>
    </xf>
    <xf numFmtId="3" fontId="34" fillId="0" borderId="47" xfId="0" applyNumberFormat="1" applyFont="1" applyFill="1" applyBorder="1" applyAlignment="1">
      <alignment horizontal="right" vertical="center" shrinkToFit="1"/>
    </xf>
    <xf numFmtId="3" fontId="34" fillId="0" borderId="70" xfId="0" applyNumberFormat="1" applyFont="1" applyFill="1" applyBorder="1" applyAlignment="1">
      <alignment horizontal="right" vertical="center" shrinkToFit="1"/>
    </xf>
    <xf numFmtId="3" fontId="34" fillId="0" borderId="21" xfId="0" applyNumberFormat="1" applyFont="1" applyFill="1" applyBorder="1" applyAlignment="1">
      <alignment horizontal="right" vertical="center" shrinkToFit="1"/>
    </xf>
    <xf numFmtId="3" fontId="34" fillId="0" borderId="68" xfId="0" applyNumberFormat="1" applyFont="1" applyFill="1" applyBorder="1" applyAlignment="1">
      <alignment horizontal="right" vertical="center" shrinkToFit="1"/>
    </xf>
    <xf numFmtId="3" fontId="34" fillId="0" borderId="52" xfId="0" applyNumberFormat="1" applyFont="1" applyFill="1" applyBorder="1" applyAlignment="1">
      <alignment horizontal="right" vertical="center" shrinkToFit="1"/>
    </xf>
    <xf numFmtId="3" fontId="34" fillId="0" borderId="23" xfId="0" applyNumberFormat="1" applyFont="1" applyFill="1" applyBorder="1" applyAlignment="1">
      <alignment horizontal="right" vertical="center" shrinkToFit="1"/>
    </xf>
    <xf numFmtId="3" fontId="34" fillId="0" borderId="35" xfId="0" applyNumberFormat="1" applyFont="1" applyFill="1" applyBorder="1" applyAlignment="1">
      <alignment horizontal="right" vertical="center" shrinkToFit="1"/>
    </xf>
    <xf numFmtId="3" fontId="34" fillId="0" borderId="60" xfId="0" applyNumberFormat="1" applyFont="1" applyFill="1" applyBorder="1" applyAlignment="1">
      <alignment horizontal="right" vertical="center" shrinkToFit="1"/>
    </xf>
    <xf numFmtId="3" fontId="34" fillId="0" borderId="84" xfId="0" applyNumberFormat="1" applyFont="1" applyFill="1" applyBorder="1" applyAlignment="1">
      <alignment horizontal="right" vertical="center" shrinkToFit="1"/>
    </xf>
    <xf numFmtId="3" fontId="34" fillId="0" borderId="69" xfId="0" applyNumberFormat="1" applyFont="1" applyFill="1" applyBorder="1" applyAlignment="1">
      <alignment horizontal="right" vertical="center" shrinkToFit="1"/>
    </xf>
    <xf numFmtId="220" fontId="13" fillId="0" borderId="16" xfId="50" applyNumberFormat="1" applyFont="1" applyFill="1" applyBorder="1" applyAlignment="1" applyProtection="1">
      <alignment vertical="center"/>
      <protection/>
    </xf>
    <xf numFmtId="220" fontId="82" fillId="0" borderId="16" xfId="50" applyNumberFormat="1" applyFont="1" applyFill="1" applyBorder="1" applyAlignment="1" applyProtection="1">
      <alignment vertical="center"/>
      <protection/>
    </xf>
    <xf numFmtId="220" fontId="82" fillId="0" borderId="15" xfId="50" applyNumberFormat="1" applyFont="1" applyFill="1" applyBorder="1" applyAlignment="1" applyProtection="1">
      <alignment vertical="center"/>
      <protection/>
    </xf>
    <xf numFmtId="220" fontId="13" fillId="0" borderId="32" xfId="50" applyNumberFormat="1" applyFont="1" applyFill="1" applyBorder="1" applyAlignment="1" applyProtection="1">
      <alignment vertical="center"/>
      <protection locked="0"/>
    </xf>
    <xf numFmtId="220" fontId="13" fillId="0" borderId="21" xfId="50" applyNumberFormat="1" applyFont="1" applyFill="1" applyBorder="1" applyAlignment="1" applyProtection="1">
      <alignment vertical="center"/>
      <protection/>
    </xf>
    <xf numFmtId="220" fontId="13" fillId="0" borderId="32" xfId="50" applyNumberFormat="1" applyFont="1" applyFill="1" applyBorder="1" applyAlignment="1" applyProtection="1">
      <alignment vertical="center"/>
      <protection/>
    </xf>
    <xf numFmtId="220" fontId="13" fillId="0" borderId="51" xfId="50" applyNumberFormat="1" applyFont="1" applyFill="1" applyBorder="1" applyAlignment="1" applyProtection="1">
      <alignment vertical="center"/>
      <protection/>
    </xf>
    <xf numFmtId="220" fontId="13" fillId="0" borderId="21" xfId="50" applyNumberFormat="1" applyFont="1" applyFill="1" applyBorder="1" applyAlignment="1" applyProtection="1">
      <alignment vertical="center"/>
      <protection locked="0"/>
    </xf>
    <xf numFmtId="220" fontId="13" fillId="0" borderId="23" xfId="50" applyNumberFormat="1" applyFont="1" applyFill="1" applyBorder="1" applyAlignment="1" applyProtection="1">
      <alignment vertical="center"/>
      <protection/>
    </xf>
    <xf numFmtId="220" fontId="13" fillId="0" borderId="22" xfId="50" applyNumberFormat="1" applyFont="1" applyFill="1" applyBorder="1" applyAlignment="1" applyProtection="1">
      <alignment vertical="center"/>
      <protection locked="0"/>
    </xf>
    <xf numFmtId="220" fontId="13" fillId="0" borderId="22" xfId="50" applyNumberFormat="1" applyFont="1" applyFill="1" applyBorder="1" applyAlignment="1" applyProtection="1">
      <alignment vertical="center"/>
      <protection/>
    </xf>
    <xf numFmtId="220" fontId="13" fillId="0" borderId="28" xfId="50" applyNumberFormat="1" applyFont="1" applyFill="1" applyBorder="1" applyAlignment="1" applyProtection="1">
      <alignment vertical="center"/>
      <protection/>
    </xf>
    <xf numFmtId="220" fontId="13" fillId="0" borderId="14" xfId="50" applyNumberFormat="1" applyFont="1" applyFill="1" applyBorder="1" applyAlignment="1" applyProtection="1">
      <alignment vertical="center"/>
      <protection/>
    </xf>
    <xf numFmtId="220" fontId="82" fillId="0" borderId="14" xfId="50" applyNumberFormat="1" applyFont="1" applyFill="1" applyBorder="1" applyAlignment="1" applyProtection="1">
      <alignment vertical="center"/>
      <protection/>
    </xf>
    <xf numFmtId="220" fontId="82" fillId="0" borderId="29" xfId="50" applyNumberFormat="1" applyFont="1" applyFill="1" applyBorder="1" applyAlignment="1" applyProtection="1">
      <alignment vertical="center"/>
      <protection/>
    </xf>
    <xf numFmtId="220" fontId="82" fillId="0" borderId="41" xfId="50" applyNumberFormat="1" applyFont="1" applyFill="1" applyBorder="1" applyAlignment="1" applyProtection="1">
      <alignment vertical="center"/>
      <protection/>
    </xf>
    <xf numFmtId="220" fontId="13" fillId="0" borderId="69" xfId="50" applyNumberFormat="1" applyFont="1" applyFill="1" applyBorder="1" applyAlignment="1" applyProtection="1">
      <alignment vertical="center"/>
      <protection/>
    </xf>
    <xf numFmtId="220" fontId="13" fillId="0" borderId="17" xfId="50" applyNumberFormat="1" applyFont="1" applyFill="1" applyBorder="1" applyAlignment="1" applyProtection="1">
      <alignment vertical="center"/>
      <protection/>
    </xf>
    <xf numFmtId="220" fontId="13" fillId="0" borderId="69" xfId="50" applyNumberFormat="1" applyFont="1" applyFill="1" applyBorder="1" applyAlignment="1" applyProtection="1">
      <alignment vertical="center"/>
      <protection locked="0"/>
    </xf>
    <xf numFmtId="220" fontId="13" fillId="0" borderId="68" xfId="50" applyNumberFormat="1" applyFont="1" applyFill="1" applyBorder="1" applyAlignment="1" applyProtection="1">
      <alignment vertical="center"/>
      <protection/>
    </xf>
    <xf numFmtId="220" fontId="13" fillId="0" borderId="35" xfId="50" applyNumberFormat="1" applyFont="1" applyFill="1" applyBorder="1" applyAlignment="1" applyProtection="1">
      <alignment vertical="center"/>
      <protection/>
    </xf>
    <xf numFmtId="220" fontId="13" fillId="0" borderId="46" xfId="50" applyNumberFormat="1" applyFont="1" applyFill="1" applyBorder="1" applyAlignment="1" applyProtection="1">
      <alignment vertical="center"/>
      <protection/>
    </xf>
    <xf numFmtId="220" fontId="13" fillId="0" borderId="37" xfId="50" applyNumberFormat="1" applyFont="1" applyFill="1" applyBorder="1" applyAlignment="1" applyProtection="1">
      <alignment vertical="center"/>
      <protection/>
    </xf>
    <xf numFmtId="220" fontId="13" fillId="0" borderId="29" xfId="50" applyNumberFormat="1" applyFont="1" applyFill="1" applyBorder="1" applyAlignment="1" applyProtection="1">
      <alignment vertical="center"/>
      <protection locked="0"/>
    </xf>
    <xf numFmtId="220" fontId="13" fillId="0" borderId="66" xfId="50" applyNumberFormat="1" applyFont="1" applyFill="1" applyBorder="1" applyAlignment="1" applyProtection="1">
      <alignment vertical="center"/>
      <protection/>
    </xf>
    <xf numFmtId="220" fontId="13" fillId="0" borderId="54" xfId="0" applyNumberFormat="1" applyFont="1" applyFill="1" applyBorder="1" applyAlignment="1">
      <alignment vertical="center"/>
    </xf>
    <xf numFmtId="220" fontId="13" fillId="0" borderId="16" xfId="0" applyNumberFormat="1" applyFont="1" applyFill="1" applyBorder="1" applyAlignment="1">
      <alignment vertical="center"/>
    </xf>
    <xf numFmtId="220" fontId="13" fillId="0" borderId="17" xfId="0" applyNumberFormat="1" applyFont="1" applyFill="1" applyBorder="1" applyAlignment="1">
      <alignment vertical="center"/>
    </xf>
    <xf numFmtId="220" fontId="13" fillId="0" borderId="84" xfId="0" applyNumberFormat="1" applyFont="1" applyFill="1" applyBorder="1" applyAlignment="1">
      <alignment vertical="center"/>
    </xf>
    <xf numFmtId="220" fontId="13" fillId="0" borderId="69" xfId="0" applyNumberFormat="1" applyFont="1" applyFill="1" applyBorder="1" applyAlignment="1">
      <alignment vertical="center"/>
    </xf>
    <xf numFmtId="220" fontId="13" fillId="0" borderId="68" xfId="0" applyNumberFormat="1" applyFont="1" applyFill="1" applyBorder="1" applyAlignment="1">
      <alignment vertical="center"/>
    </xf>
    <xf numFmtId="220" fontId="13" fillId="0" borderId="21" xfId="0" applyNumberFormat="1" applyFont="1" applyFill="1" applyBorder="1" applyAlignment="1">
      <alignment vertical="center"/>
    </xf>
    <xf numFmtId="220" fontId="13" fillId="0" borderId="35" xfId="0" applyNumberFormat="1" applyFont="1" applyFill="1" applyBorder="1" applyAlignment="1">
      <alignment vertical="center"/>
    </xf>
    <xf numFmtId="220" fontId="13" fillId="0" borderId="70" xfId="0" applyNumberFormat="1" applyFont="1" applyFill="1" applyBorder="1" applyAlignment="1">
      <alignment vertical="center"/>
    </xf>
    <xf numFmtId="220" fontId="13" fillId="0" borderId="58" xfId="0" applyNumberFormat="1" applyFont="1" applyFill="1" applyBorder="1" applyAlignment="1">
      <alignment vertical="center"/>
    </xf>
    <xf numFmtId="220" fontId="13" fillId="0" borderId="32" xfId="0" applyNumberFormat="1" applyFont="1" applyFill="1" applyBorder="1" applyAlignment="1">
      <alignment vertical="center"/>
    </xf>
    <xf numFmtId="220" fontId="13" fillId="0" borderId="66" xfId="0" applyNumberFormat="1" applyFont="1" applyFill="1" applyBorder="1" applyAlignment="1">
      <alignment vertical="center"/>
    </xf>
    <xf numFmtId="220" fontId="13" fillId="0" borderId="0" xfId="0" applyNumberFormat="1" applyFont="1" applyFill="1" applyBorder="1" applyAlignment="1">
      <alignment vertical="center"/>
    </xf>
    <xf numFmtId="220" fontId="13" fillId="0" borderId="22" xfId="0" applyNumberFormat="1" applyFont="1" applyFill="1" applyBorder="1" applyAlignment="1">
      <alignment vertical="center"/>
    </xf>
    <xf numFmtId="220" fontId="13" fillId="0" borderId="46" xfId="0" applyNumberFormat="1" applyFont="1" applyFill="1" applyBorder="1" applyAlignment="1">
      <alignment vertical="center"/>
    </xf>
    <xf numFmtId="220" fontId="37" fillId="0" borderId="88" xfId="0" applyNumberFormat="1" applyFont="1" applyFill="1" applyBorder="1" applyAlignment="1">
      <alignment horizontal="right" vertical="center" shrinkToFit="1"/>
    </xf>
    <xf numFmtId="220" fontId="37" fillId="0" borderId="15" xfId="0" applyNumberFormat="1" applyFont="1" applyFill="1" applyBorder="1" applyAlignment="1">
      <alignment horizontal="right" vertical="center" shrinkToFit="1"/>
    </xf>
    <xf numFmtId="220" fontId="37" fillId="0" borderId="37" xfId="0" applyNumberFormat="1" applyFont="1" applyFill="1" applyBorder="1" applyAlignment="1">
      <alignment horizontal="right" vertical="center" shrinkToFit="1"/>
    </xf>
    <xf numFmtId="220" fontId="37" fillId="0" borderId="89" xfId="0" applyNumberFormat="1" applyFont="1" applyFill="1" applyBorder="1" applyAlignment="1">
      <alignment horizontal="right" vertical="center" shrinkToFit="1"/>
    </xf>
    <xf numFmtId="220" fontId="37" fillId="0" borderId="52" xfId="0" applyNumberFormat="1" applyFont="1" applyFill="1" applyBorder="1" applyAlignment="1">
      <alignment horizontal="right" vertical="center" shrinkToFit="1"/>
    </xf>
    <xf numFmtId="220" fontId="37" fillId="0" borderId="69" xfId="0" applyNumberFormat="1" applyFont="1" applyFill="1" applyBorder="1" applyAlignment="1">
      <alignment horizontal="right" vertical="center" shrinkToFit="1"/>
    </xf>
    <xf numFmtId="220" fontId="37" fillId="0" borderId="66" xfId="0" applyNumberFormat="1" applyFont="1" applyFill="1" applyBorder="1" applyAlignment="1">
      <alignment horizontal="right" vertical="center" shrinkToFit="1"/>
    </xf>
    <xf numFmtId="220" fontId="37" fillId="0" borderId="90" xfId="0" applyNumberFormat="1" applyFont="1" applyFill="1" applyBorder="1" applyAlignment="1">
      <alignment horizontal="right" vertical="center" shrinkToFit="1"/>
    </xf>
    <xf numFmtId="220" fontId="37" fillId="0" borderId="23" xfId="0" applyNumberFormat="1" applyFont="1" applyFill="1" applyBorder="1" applyAlignment="1">
      <alignment horizontal="right" vertical="center" shrinkToFit="1"/>
    </xf>
    <xf numFmtId="220" fontId="37" fillId="0" borderId="21" xfId="0" applyNumberFormat="1" applyFont="1" applyFill="1" applyBorder="1" applyAlignment="1">
      <alignment horizontal="right" vertical="center" shrinkToFit="1"/>
    </xf>
    <xf numFmtId="220" fontId="37" fillId="0" borderId="35" xfId="0" applyNumberFormat="1" applyFont="1" applyFill="1" applyBorder="1" applyAlignment="1">
      <alignment horizontal="right" vertical="center" shrinkToFit="1"/>
    </xf>
    <xf numFmtId="220" fontId="37" fillId="0" borderId="34" xfId="0" applyNumberFormat="1" applyFont="1" applyFill="1" applyBorder="1" applyAlignment="1">
      <alignment horizontal="right" vertical="center" shrinkToFit="1"/>
    </xf>
    <xf numFmtId="220" fontId="37" fillId="0" borderId="41" xfId="0" applyNumberFormat="1" applyFont="1" applyFill="1" applyBorder="1" applyAlignment="1">
      <alignment horizontal="right" vertical="center" shrinkToFit="1"/>
    </xf>
    <xf numFmtId="220" fontId="56" fillId="0" borderId="15" xfId="0" applyNumberFormat="1" applyFont="1" applyFill="1" applyBorder="1" applyAlignment="1">
      <alignment vertical="center" shrinkToFit="1"/>
    </xf>
    <xf numFmtId="220" fontId="56" fillId="0" borderId="17" xfId="0" applyNumberFormat="1" applyFont="1" applyFill="1" applyBorder="1" applyAlignment="1">
      <alignment vertical="center" shrinkToFit="1"/>
    </xf>
    <xf numFmtId="220" fontId="56" fillId="0" borderId="91" xfId="0" applyNumberFormat="1" applyFont="1" applyFill="1" applyBorder="1" applyAlignment="1">
      <alignment vertical="center" shrinkToFit="1"/>
    </xf>
    <xf numFmtId="220" fontId="56" fillId="0" borderId="52" xfId="0" applyNumberFormat="1" applyFont="1" applyFill="1" applyBorder="1" applyAlignment="1">
      <alignment vertical="center" shrinkToFit="1"/>
    </xf>
    <xf numFmtId="220" fontId="56" fillId="0" borderId="69" xfId="0" applyNumberFormat="1" applyFont="1" applyFill="1" applyBorder="1" applyAlignment="1">
      <alignment vertical="center" shrinkToFit="1"/>
    </xf>
    <xf numFmtId="220" fontId="56" fillId="0" borderId="21" xfId="0" applyNumberFormat="1" applyFont="1" applyFill="1" applyBorder="1" applyAlignment="1">
      <alignment vertical="center" shrinkToFit="1"/>
    </xf>
    <xf numFmtId="220" fontId="56" fillId="0" borderId="68" xfId="0" applyNumberFormat="1" applyFont="1" applyFill="1" applyBorder="1" applyAlignment="1">
      <alignment vertical="center" shrinkToFit="1"/>
    </xf>
    <xf numFmtId="220" fontId="56" fillId="0" borderId="83" xfId="0" applyNumberFormat="1" applyFont="1" applyFill="1" applyBorder="1" applyAlignment="1">
      <alignment vertical="center" shrinkToFit="1"/>
    </xf>
    <xf numFmtId="220" fontId="56" fillId="0" borderId="23" xfId="0" applyNumberFormat="1" applyFont="1" applyFill="1" applyBorder="1" applyAlignment="1">
      <alignment vertical="center" shrinkToFit="1"/>
    </xf>
    <xf numFmtId="220" fontId="56" fillId="0" borderId="35" xfId="0" applyNumberFormat="1" applyFont="1" applyFill="1" applyBorder="1" applyAlignment="1">
      <alignment vertical="center" shrinkToFit="1"/>
    </xf>
    <xf numFmtId="220" fontId="56" fillId="0" borderId="92" xfId="0" applyNumberFormat="1" applyFont="1" applyFill="1" applyBorder="1" applyAlignment="1">
      <alignment vertical="center" shrinkToFit="1"/>
    </xf>
    <xf numFmtId="220" fontId="56" fillId="0" borderId="41" xfId="0" applyNumberFormat="1" applyFont="1" applyFill="1" applyBorder="1" applyAlignment="1">
      <alignment vertical="center" shrinkToFit="1"/>
    </xf>
    <xf numFmtId="220" fontId="56" fillId="0" borderId="37" xfId="0" applyNumberFormat="1" applyFont="1" applyFill="1" applyBorder="1" applyAlignment="1">
      <alignment vertical="center" shrinkToFit="1"/>
    </xf>
    <xf numFmtId="220" fontId="56" fillId="0" borderId="31" xfId="0" applyNumberFormat="1" applyFont="1" applyFill="1" applyBorder="1" applyAlignment="1">
      <alignment vertical="center" shrinkToFit="1"/>
    </xf>
    <xf numFmtId="220" fontId="97" fillId="0" borderId="41" xfId="0" applyNumberFormat="1" applyFont="1" applyFill="1" applyBorder="1" applyAlignment="1">
      <alignment vertical="center" shrinkToFit="1"/>
    </xf>
    <xf numFmtId="220" fontId="97" fillId="0" borderId="14" xfId="0" applyNumberFormat="1" applyFont="1" applyFill="1" applyBorder="1" applyAlignment="1">
      <alignment vertical="center" shrinkToFit="1"/>
    </xf>
    <xf numFmtId="220" fontId="97" fillId="0" borderId="37" xfId="0" applyNumberFormat="1" applyFont="1" applyFill="1" applyBorder="1" applyAlignment="1">
      <alignment vertical="center" shrinkToFit="1"/>
    </xf>
    <xf numFmtId="220" fontId="97" fillId="0" borderId="31" xfId="0" applyNumberFormat="1" applyFont="1" applyFill="1" applyBorder="1" applyAlignment="1">
      <alignment vertical="center" shrinkToFit="1"/>
    </xf>
    <xf numFmtId="220" fontId="82" fillId="0" borderId="93" xfId="0" applyNumberFormat="1" applyFont="1" applyFill="1" applyBorder="1" applyAlignment="1">
      <alignment horizontal="right" vertical="center"/>
    </xf>
    <xf numFmtId="220" fontId="82" fillId="0" borderId="16" xfId="0" applyNumberFormat="1" applyFont="1" applyFill="1" applyBorder="1" applyAlignment="1">
      <alignment horizontal="right" vertical="center"/>
    </xf>
    <xf numFmtId="220" fontId="13" fillId="0" borderId="94" xfId="0" applyNumberFormat="1" applyFont="1" applyFill="1" applyBorder="1" applyAlignment="1">
      <alignment horizontal="right" vertical="center"/>
    </xf>
    <xf numFmtId="220" fontId="13" fillId="0" borderId="32" xfId="0" applyNumberFormat="1" applyFont="1" applyFill="1" applyBorder="1" applyAlignment="1">
      <alignment horizontal="right" vertical="center"/>
    </xf>
    <xf numFmtId="220" fontId="13" fillId="0" borderId="95" xfId="0" applyNumberFormat="1" applyFont="1" applyFill="1" applyBorder="1" applyAlignment="1">
      <alignment horizontal="right" vertical="center"/>
    </xf>
    <xf numFmtId="220" fontId="13" fillId="0" borderId="21" xfId="0" applyNumberFormat="1" applyFont="1" applyFill="1" applyBorder="1" applyAlignment="1">
      <alignment horizontal="right" vertical="center"/>
    </xf>
    <xf numFmtId="220" fontId="13" fillId="0" borderId="96" xfId="0" applyNumberFormat="1" applyFont="1" applyFill="1" applyBorder="1" applyAlignment="1">
      <alignment horizontal="right" vertical="center"/>
    </xf>
    <xf numFmtId="220" fontId="13" fillId="0" borderId="69" xfId="0" applyNumberFormat="1" applyFont="1" applyFill="1" applyBorder="1" applyAlignment="1">
      <alignment horizontal="right" vertical="center"/>
    </xf>
    <xf numFmtId="220" fontId="13" fillId="0" borderId="97" xfId="0" applyNumberFormat="1" applyFont="1" applyFill="1" applyBorder="1" applyAlignment="1">
      <alignment horizontal="right" vertical="center"/>
    </xf>
    <xf numFmtId="220" fontId="13" fillId="0" borderId="14" xfId="0" applyNumberFormat="1" applyFont="1" applyFill="1" applyBorder="1" applyAlignment="1">
      <alignment horizontal="right" vertical="center"/>
    </xf>
    <xf numFmtId="220" fontId="13" fillId="0" borderId="23" xfId="0" applyNumberFormat="1" applyFont="1" applyFill="1" applyBorder="1" applyAlignment="1">
      <alignment horizontal="right" vertical="center"/>
    </xf>
    <xf numFmtId="220" fontId="82" fillId="0" borderId="97" xfId="0" applyNumberFormat="1" applyFont="1" applyFill="1" applyBorder="1" applyAlignment="1">
      <alignment horizontal="right" vertical="center"/>
    </xf>
    <xf numFmtId="220" fontId="82" fillId="0" borderId="14" xfId="0" applyNumberFormat="1" applyFont="1" applyFill="1" applyBorder="1" applyAlignment="1">
      <alignment horizontal="right" vertical="center"/>
    </xf>
    <xf numFmtId="220" fontId="82" fillId="0" borderId="93" xfId="0" applyNumberFormat="1" applyFont="1" applyFill="1" applyBorder="1" applyAlignment="1">
      <alignment vertical="center"/>
    </xf>
    <xf numFmtId="220" fontId="82" fillId="0" borderId="16" xfId="0" applyNumberFormat="1" applyFont="1" applyFill="1" applyBorder="1" applyAlignment="1">
      <alignment vertical="center"/>
    </xf>
    <xf numFmtId="220" fontId="14" fillId="0" borderId="95" xfId="0" applyNumberFormat="1" applyFont="1" applyFill="1" applyBorder="1" applyAlignment="1">
      <alignment horizontal="center" vertical="center"/>
    </xf>
    <xf numFmtId="220" fontId="82" fillId="0" borderId="97" xfId="0" applyNumberFormat="1" applyFont="1" applyFill="1" applyBorder="1" applyAlignment="1">
      <alignment vertical="center"/>
    </xf>
    <xf numFmtId="220" fontId="82" fillId="0" borderId="14" xfId="0" applyNumberFormat="1" applyFont="1" applyFill="1" applyBorder="1" applyAlignment="1">
      <alignment vertical="center"/>
    </xf>
    <xf numFmtId="220" fontId="13" fillId="0" borderId="96" xfId="0" applyNumberFormat="1" applyFont="1" applyFill="1" applyBorder="1" applyAlignment="1">
      <alignment vertical="center"/>
    </xf>
    <xf numFmtId="220" fontId="13" fillId="0" borderId="52" xfId="0" applyNumberFormat="1" applyFont="1" applyFill="1" applyBorder="1" applyAlignment="1">
      <alignment vertical="center"/>
    </xf>
    <xf numFmtId="220" fontId="13" fillId="0" borderId="95" xfId="0" applyNumberFormat="1" applyFont="1" applyFill="1" applyBorder="1" applyAlignment="1">
      <alignment vertical="center"/>
    </xf>
    <xf numFmtId="220" fontId="13" fillId="0" borderId="23" xfId="0" applyNumberFormat="1" applyFont="1" applyFill="1" applyBorder="1" applyAlignment="1">
      <alignment vertical="center"/>
    </xf>
    <xf numFmtId="220" fontId="13" fillId="0" borderId="94" xfId="0" applyNumberFormat="1" applyFont="1" applyFill="1" applyBorder="1" applyAlignment="1">
      <alignment vertical="center"/>
    </xf>
    <xf numFmtId="220" fontId="82" fillId="0" borderId="41" xfId="0" applyNumberFormat="1" applyFont="1" applyFill="1" applyBorder="1" applyAlignment="1">
      <alignment vertical="center"/>
    </xf>
    <xf numFmtId="220" fontId="82" fillId="0" borderId="29" xfId="50" applyNumberFormat="1" applyFont="1" applyFill="1" applyBorder="1" applyAlignment="1">
      <alignment vertical="center" shrinkToFit="1"/>
    </xf>
    <xf numFmtId="220" fontId="82" fillId="0" borderId="55" xfId="50" applyNumberFormat="1" applyFont="1" applyFill="1" applyBorder="1" applyAlignment="1">
      <alignment vertical="center" shrinkToFit="1"/>
    </xf>
    <xf numFmtId="220" fontId="13" fillId="0" borderId="32" xfId="68" applyNumberFormat="1" applyFont="1" applyFill="1" applyBorder="1">
      <alignment vertical="center"/>
      <protection/>
    </xf>
    <xf numFmtId="220" fontId="13" fillId="0" borderId="32" xfId="50" applyNumberFormat="1" applyFont="1" applyFill="1" applyBorder="1" applyAlignment="1">
      <alignment vertical="center" shrinkToFit="1"/>
    </xf>
    <xf numFmtId="220" fontId="13" fillId="0" borderId="66" xfId="68" applyNumberFormat="1" applyFont="1" applyFill="1" applyBorder="1">
      <alignment vertical="center"/>
      <protection/>
    </xf>
    <xf numFmtId="220" fontId="13" fillId="0" borderId="21" xfId="68" applyNumberFormat="1" applyFont="1" applyFill="1" applyBorder="1">
      <alignment vertical="center"/>
      <protection/>
    </xf>
    <xf numFmtId="220" fontId="13" fillId="0" borderId="21" xfId="50" applyNumberFormat="1" applyFont="1" applyFill="1" applyBorder="1" applyAlignment="1">
      <alignment vertical="center" shrinkToFit="1"/>
    </xf>
    <xf numFmtId="220" fontId="13" fillId="0" borderId="35" xfId="68" applyNumberFormat="1" applyFont="1" applyFill="1" applyBorder="1">
      <alignment vertical="center"/>
      <protection/>
    </xf>
    <xf numFmtId="220" fontId="13" fillId="0" borderId="22" xfId="68" applyNumberFormat="1" applyFont="1" applyFill="1" applyBorder="1">
      <alignment vertical="center"/>
      <protection/>
    </xf>
    <xf numFmtId="220" fontId="13" fillId="0" borderId="22" xfId="50" applyNumberFormat="1" applyFont="1" applyFill="1" applyBorder="1" applyAlignment="1">
      <alignment vertical="center" shrinkToFit="1"/>
    </xf>
    <xf numFmtId="220" fontId="13" fillId="0" borderId="46" xfId="68" applyNumberFormat="1" applyFont="1" applyFill="1" applyBorder="1">
      <alignment vertical="center"/>
      <protection/>
    </xf>
    <xf numFmtId="220" fontId="13" fillId="0" borderId="69" xfId="68" applyNumberFormat="1" applyFont="1" applyFill="1" applyBorder="1">
      <alignment vertical="center"/>
      <protection/>
    </xf>
    <xf numFmtId="220" fontId="13" fillId="0" borderId="69" xfId="50" applyNumberFormat="1" applyFont="1" applyFill="1" applyBorder="1" applyAlignment="1">
      <alignment vertical="center" shrinkToFit="1"/>
    </xf>
    <xf numFmtId="220" fontId="13" fillId="0" borderId="68" xfId="68" applyNumberFormat="1" applyFont="1" applyFill="1" applyBorder="1">
      <alignment vertical="center"/>
      <protection/>
    </xf>
    <xf numFmtId="220" fontId="84" fillId="0" borderId="10" xfId="0" applyNumberFormat="1" applyFont="1" applyFill="1" applyBorder="1" applyAlignment="1">
      <alignment vertical="center"/>
    </xf>
    <xf numFmtId="220" fontId="84" fillId="0" borderId="17" xfId="0" applyNumberFormat="1" applyFont="1" applyFill="1" applyBorder="1" applyAlignment="1">
      <alignment vertical="center"/>
    </xf>
    <xf numFmtId="220" fontId="84" fillId="0" borderId="98" xfId="0" applyNumberFormat="1" applyFont="1" applyFill="1" applyBorder="1" applyAlignment="1">
      <alignment vertical="center"/>
    </xf>
    <xf numFmtId="220" fontId="15" fillId="0" borderId="87" xfId="0" applyNumberFormat="1" applyFont="1" applyFill="1" applyBorder="1" applyAlignment="1">
      <alignment vertical="center"/>
    </xf>
    <xf numFmtId="220" fontId="15" fillId="0" borderId="66" xfId="0" applyNumberFormat="1" applyFont="1" applyFill="1" applyBorder="1" applyAlignment="1">
      <alignment vertical="center"/>
    </xf>
    <xf numFmtId="220" fontId="84" fillId="0" borderId="53" xfId="0" applyNumberFormat="1" applyFont="1" applyFill="1" applyBorder="1" applyAlignment="1">
      <alignment vertical="center"/>
    </xf>
    <xf numFmtId="220" fontId="84" fillId="0" borderId="99" xfId="0" applyNumberFormat="1" applyFont="1" applyFill="1" applyBorder="1" applyAlignment="1">
      <alignment vertical="center"/>
    </xf>
    <xf numFmtId="220" fontId="15" fillId="0" borderId="47" xfId="0" applyNumberFormat="1" applyFont="1" applyFill="1" applyBorder="1" applyAlignment="1">
      <alignment vertical="center"/>
    </xf>
    <xf numFmtId="220" fontId="15" fillId="0" borderId="35" xfId="0" applyNumberFormat="1" applyFont="1" applyFill="1" applyBorder="1" applyAlignment="1">
      <alignment vertical="center"/>
    </xf>
    <xf numFmtId="220" fontId="84" fillId="0" borderId="61" xfId="0" applyNumberFormat="1" applyFont="1" applyFill="1" applyBorder="1" applyAlignment="1">
      <alignment vertical="center"/>
    </xf>
    <xf numFmtId="220" fontId="15" fillId="0" borderId="100" xfId="0" applyNumberFormat="1" applyFont="1" applyFill="1" applyBorder="1" applyAlignment="1">
      <alignment vertical="center"/>
    </xf>
    <xf numFmtId="220" fontId="15" fillId="0" borderId="61" xfId="0" applyNumberFormat="1" applyFont="1" applyFill="1" applyBorder="1" applyAlignment="1">
      <alignment vertical="center"/>
    </xf>
    <xf numFmtId="220" fontId="15" fillId="0" borderId="46" xfId="0" applyNumberFormat="1" applyFont="1" applyFill="1" applyBorder="1" applyAlignment="1">
      <alignment vertical="center"/>
    </xf>
    <xf numFmtId="220" fontId="84" fillId="0" borderId="47" xfId="0" applyNumberFormat="1" applyFont="1" applyFill="1" applyBorder="1" applyAlignment="1">
      <alignment vertical="center"/>
    </xf>
    <xf numFmtId="220" fontId="15" fillId="0" borderId="101" xfId="0" applyNumberFormat="1" applyFont="1" applyFill="1" applyBorder="1" applyAlignment="1">
      <alignment vertical="center"/>
    </xf>
    <xf numFmtId="220" fontId="84" fillId="0" borderId="60" xfId="0" applyNumberFormat="1" applyFont="1" applyFill="1" applyBorder="1" applyAlignment="1">
      <alignment vertical="center"/>
    </xf>
    <xf numFmtId="220" fontId="84" fillId="0" borderId="26" xfId="0" applyNumberFormat="1" applyFont="1" applyFill="1" applyBorder="1" applyAlignment="1">
      <alignment vertical="center"/>
    </xf>
    <xf numFmtId="220" fontId="84" fillId="0" borderId="65" xfId="0" applyNumberFormat="1" applyFont="1" applyFill="1" applyBorder="1" applyAlignment="1">
      <alignment vertical="center"/>
    </xf>
    <xf numFmtId="220" fontId="84" fillId="0" borderId="55" xfId="0" applyNumberFormat="1" applyFont="1" applyFill="1" applyBorder="1" applyAlignment="1">
      <alignment vertical="center"/>
    </xf>
    <xf numFmtId="220" fontId="84" fillId="0" borderId="102" xfId="0" applyNumberFormat="1" applyFont="1" applyFill="1" applyBorder="1" applyAlignment="1">
      <alignment vertical="center"/>
    </xf>
    <xf numFmtId="220" fontId="84" fillId="0" borderId="43" xfId="0" applyNumberFormat="1" applyFont="1" applyFill="1" applyBorder="1" applyAlignment="1">
      <alignment vertical="center"/>
    </xf>
    <xf numFmtId="220" fontId="15" fillId="0" borderId="103" xfId="0" applyNumberFormat="1" applyFont="1" applyFill="1" applyBorder="1" applyAlignment="1">
      <alignment vertical="center"/>
    </xf>
    <xf numFmtId="220" fontId="15" fillId="0" borderId="55" xfId="0" applyNumberFormat="1" applyFont="1" applyFill="1" applyBorder="1" applyAlignment="1">
      <alignment vertical="center"/>
    </xf>
    <xf numFmtId="220" fontId="15" fillId="0" borderId="35" xfId="0" applyNumberFormat="1" applyFont="1" applyFill="1" applyBorder="1" applyAlignment="1">
      <alignment horizontal="right" vertical="center"/>
    </xf>
    <xf numFmtId="220" fontId="15" fillId="0" borderId="46" xfId="0" applyNumberFormat="1" applyFont="1" applyFill="1" applyBorder="1" applyAlignment="1">
      <alignment horizontal="right" vertical="center"/>
    </xf>
    <xf numFmtId="220" fontId="84" fillId="0" borderId="37" xfId="0" applyNumberFormat="1" applyFont="1" applyFill="1" applyBorder="1" applyAlignment="1">
      <alignment vertical="center"/>
    </xf>
    <xf numFmtId="220" fontId="15" fillId="0" borderId="30" xfId="0" applyNumberFormat="1" applyFont="1" applyFill="1" applyBorder="1" applyAlignment="1">
      <alignment vertical="center"/>
    </xf>
    <xf numFmtId="220" fontId="15" fillId="0" borderId="37" xfId="0" applyNumberFormat="1" applyFont="1" applyFill="1" applyBorder="1" applyAlignment="1">
      <alignment vertical="center"/>
    </xf>
    <xf numFmtId="220" fontId="13" fillId="0" borderId="21" xfId="50" applyNumberFormat="1" applyFont="1" applyFill="1" applyBorder="1" applyAlignment="1">
      <alignment vertical="center"/>
    </xf>
    <xf numFmtId="220" fontId="13" fillId="0" borderId="29" xfId="50" applyNumberFormat="1" applyFont="1" applyFill="1" applyBorder="1" applyAlignment="1">
      <alignment vertical="center"/>
    </xf>
    <xf numFmtId="220" fontId="13" fillId="0" borderId="69" xfId="50" applyNumberFormat="1" applyFont="1" applyFill="1" applyBorder="1" applyAlignment="1">
      <alignment horizontal="right" vertical="center" wrapText="1"/>
    </xf>
    <xf numFmtId="220" fontId="13" fillId="0" borderId="22" xfId="50" applyNumberFormat="1" applyFont="1" applyFill="1" applyBorder="1" applyAlignment="1">
      <alignment vertical="center"/>
    </xf>
    <xf numFmtId="220" fontId="13" fillId="0" borderId="104" xfId="50" applyNumberFormat="1" applyFont="1" applyFill="1" applyBorder="1" applyAlignment="1">
      <alignment vertical="center"/>
    </xf>
    <xf numFmtId="220" fontId="13" fillId="0" borderId="69" xfId="50" applyNumberFormat="1" applyFont="1" applyFill="1" applyBorder="1" applyAlignment="1">
      <alignment vertical="center"/>
    </xf>
    <xf numFmtId="220" fontId="13" fillId="0" borderId="105" xfId="50" applyNumberFormat="1" applyFont="1" applyFill="1" applyBorder="1" applyAlignment="1">
      <alignment vertical="center"/>
    </xf>
    <xf numFmtId="220" fontId="13" fillId="0" borderId="106" xfId="50" applyNumberFormat="1" applyFont="1" applyFill="1" applyBorder="1" applyAlignment="1">
      <alignment vertical="center"/>
    </xf>
    <xf numFmtId="220" fontId="13" fillId="0" borderId="13" xfId="50" applyNumberFormat="1" applyFont="1" applyFill="1" applyBorder="1" applyAlignment="1">
      <alignment vertical="center"/>
    </xf>
    <xf numFmtId="220" fontId="13" fillId="0" borderId="68" xfId="50" applyNumberFormat="1" applyFont="1" applyFill="1" applyBorder="1" applyAlignment="1">
      <alignment vertical="center"/>
    </xf>
    <xf numFmtId="220" fontId="13" fillId="0" borderId="35" xfId="50" applyNumberFormat="1" applyFont="1" applyFill="1" applyBorder="1" applyAlignment="1">
      <alignment vertical="center"/>
    </xf>
    <xf numFmtId="220" fontId="13" fillId="0" borderId="46" xfId="50" applyNumberFormat="1" applyFont="1" applyFill="1" applyBorder="1" applyAlignment="1">
      <alignment vertical="center"/>
    </xf>
    <xf numFmtId="220" fontId="13" fillId="0" borderId="107" xfId="50" applyNumberFormat="1" applyFont="1" applyFill="1" applyBorder="1" applyAlignment="1">
      <alignment vertical="center"/>
    </xf>
    <xf numFmtId="3" fontId="13" fillId="0" borderId="93" xfId="0" applyNumberFormat="1" applyFont="1" applyFill="1" applyBorder="1" applyAlignment="1">
      <alignment horizontal="right" vertical="center" wrapText="1"/>
    </xf>
    <xf numFmtId="3" fontId="13" fillId="0" borderId="95" xfId="0" applyNumberFormat="1" applyFont="1" applyFill="1" applyBorder="1" applyAlignment="1">
      <alignment horizontal="right" vertical="center"/>
    </xf>
    <xf numFmtId="3" fontId="13" fillId="0" borderId="96" xfId="0" applyNumberFormat="1" applyFont="1" applyFill="1" applyBorder="1" applyAlignment="1">
      <alignment horizontal="right" vertical="center"/>
    </xf>
    <xf numFmtId="3" fontId="13" fillId="0" borderId="97" xfId="0" applyNumberFormat="1" applyFont="1" applyFill="1" applyBorder="1" applyAlignment="1">
      <alignment horizontal="right" vertical="center" wrapText="1"/>
    </xf>
    <xf numFmtId="3" fontId="14" fillId="0" borderId="95" xfId="0" applyNumberFormat="1" applyFont="1" applyFill="1" applyBorder="1" applyAlignment="1">
      <alignment horizontal="right" vertical="center"/>
    </xf>
    <xf numFmtId="220" fontId="9" fillId="0" borderId="29" xfId="69" applyNumberFormat="1" applyFont="1" applyFill="1" applyBorder="1" applyAlignment="1">
      <alignment vertical="center"/>
      <protection/>
    </xf>
    <xf numFmtId="220" fontId="9" fillId="0" borderId="55" xfId="69" applyNumberFormat="1" applyFont="1" applyFill="1" applyBorder="1" applyAlignment="1">
      <alignment vertical="center"/>
      <protection/>
    </xf>
    <xf numFmtId="220" fontId="9" fillId="0" borderId="69" xfId="69" applyNumberFormat="1" applyFont="1" applyFill="1" applyBorder="1">
      <alignment/>
      <protection/>
    </xf>
    <xf numFmtId="220" fontId="9" fillId="0" borderId="68" xfId="69" applyNumberFormat="1" applyFont="1" applyFill="1" applyBorder="1">
      <alignment/>
      <protection/>
    </xf>
    <xf numFmtId="220" fontId="9" fillId="0" borderId="22" xfId="69" applyNumberFormat="1" applyFont="1" applyFill="1" applyBorder="1">
      <alignment/>
      <protection/>
    </xf>
    <xf numFmtId="220" fontId="9" fillId="0" borderId="46" xfId="69" applyNumberFormat="1" applyFont="1" applyFill="1" applyBorder="1">
      <alignment/>
      <protection/>
    </xf>
    <xf numFmtId="220" fontId="9" fillId="0" borderId="55" xfId="69" applyNumberFormat="1" applyFont="1" applyFill="1" applyBorder="1">
      <alignment/>
      <protection/>
    </xf>
    <xf numFmtId="220" fontId="9" fillId="0" borderId="29" xfId="69" applyNumberFormat="1" applyFont="1" applyFill="1" applyBorder="1">
      <alignment/>
      <protection/>
    </xf>
    <xf numFmtId="220" fontId="9" fillId="0" borderId="14" xfId="69" applyNumberFormat="1" applyFont="1" applyFill="1" applyBorder="1">
      <alignment/>
      <protection/>
    </xf>
    <xf numFmtId="220" fontId="9" fillId="0" borderId="37" xfId="69" applyNumberFormat="1" applyFont="1" applyFill="1" applyBorder="1">
      <alignment/>
      <protection/>
    </xf>
    <xf numFmtId="220" fontId="9" fillId="0" borderId="55" xfId="69" applyNumberFormat="1" applyFont="1" applyFill="1" applyBorder="1" applyAlignment="1">
      <alignment horizontal="right"/>
      <protection/>
    </xf>
    <xf numFmtId="220" fontId="15" fillId="0" borderId="32" xfId="50" applyNumberFormat="1" applyFont="1" applyFill="1" applyBorder="1" applyAlignment="1">
      <alignment vertical="center"/>
    </xf>
    <xf numFmtId="220" fontId="15" fillId="0" borderId="21" xfId="50" applyNumberFormat="1" applyFont="1" applyFill="1" applyBorder="1" applyAlignment="1" applyProtection="1">
      <alignment horizontal="right" vertical="center"/>
      <protection locked="0"/>
    </xf>
    <xf numFmtId="220" fontId="15" fillId="0" borderId="21" xfId="50" applyNumberFormat="1" applyFont="1" applyFill="1" applyBorder="1" applyAlignment="1">
      <alignment horizontal="right" vertical="center"/>
    </xf>
    <xf numFmtId="220" fontId="15" fillId="0" borderId="70" xfId="50" applyNumberFormat="1" applyFont="1" applyFill="1" applyBorder="1" applyAlignment="1" applyProtection="1">
      <alignment horizontal="right" vertical="center" shrinkToFit="1"/>
      <protection locked="0"/>
    </xf>
    <xf numFmtId="220" fontId="15" fillId="0" borderId="108" xfId="50" applyNumberFormat="1" applyFont="1" applyFill="1" applyBorder="1" applyAlignment="1" applyProtection="1">
      <alignment horizontal="right" vertical="center"/>
      <protection locked="0"/>
    </xf>
    <xf numFmtId="220" fontId="15" fillId="0" borderId="109" xfId="50" applyNumberFormat="1" applyFont="1" applyFill="1" applyBorder="1" applyAlignment="1" applyProtection="1">
      <alignment horizontal="right" vertical="center"/>
      <protection locked="0"/>
    </xf>
    <xf numFmtId="220" fontId="15" fillId="0" borderId="110" xfId="50" applyNumberFormat="1" applyFont="1" applyFill="1" applyBorder="1" applyAlignment="1" applyProtection="1">
      <alignment horizontal="right" vertical="center"/>
      <protection locked="0"/>
    </xf>
    <xf numFmtId="220" fontId="15" fillId="0" borderId="111" xfId="50" applyNumberFormat="1" applyFont="1" applyFill="1" applyBorder="1" applyAlignment="1" applyProtection="1">
      <alignment horizontal="right" vertical="center"/>
      <protection/>
    </xf>
    <xf numFmtId="220" fontId="15" fillId="0" borderId="112" xfId="50" applyNumberFormat="1" applyFont="1" applyFill="1" applyBorder="1" applyAlignment="1" applyProtection="1">
      <alignment horizontal="right" vertical="center" shrinkToFit="1"/>
      <protection locked="0"/>
    </xf>
    <xf numFmtId="220" fontId="15" fillId="0" borderId="111" xfId="50" applyNumberFormat="1" applyFont="1" applyFill="1" applyBorder="1" applyAlignment="1" applyProtection="1">
      <alignment horizontal="right" vertical="center"/>
      <protection locked="0"/>
    </xf>
    <xf numFmtId="220" fontId="15" fillId="0" borderId="21" xfId="50" applyNumberFormat="1" applyFont="1" applyFill="1" applyBorder="1" applyAlignment="1" applyProtection="1">
      <alignment vertical="center"/>
      <protection locked="0"/>
    </xf>
    <xf numFmtId="220" fontId="15" fillId="0" borderId="21" xfId="50" applyNumberFormat="1" applyFont="1" applyFill="1" applyBorder="1" applyAlignment="1">
      <alignment vertical="center"/>
    </xf>
    <xf numFmtId="220" fontId="15" fillId="0" borderId="70" xfId="50" applyNumberFormat="1" applyFont="1" applyFill="1" applyBorder="1" applyAlignment="1" applyProtection="1">
      <alignment vertical="center" shrinkToFit="1"/>
      <protection locked="0"/>
    </xf>
    <xf numFmtId="220" fontId="15" fillId="0" borderId="108" xfId="50" applyNumberFormat="1" applyFont="1" applyFill="1" applyBorder="1" applyAlignment="1" applyProtection="1">
      <alignment vertical="center"/>
      <protection locked="0"/>
    </xf>
    <xf numFmtId="220" fontId="15" fillId="0" borderId="35" xfId="50" applyNumberFormat="1" applyFont="1" applyFill="1" applyBorder="1" applyAlignment="1">
      <alignment vertical="center"/>
    </xf>
    <xf numFmtId="220" fontId="98" fillId="0" borderId="14" xfId="0" applyNumberFormat="1" applyFont="1" applyFill="1" applyBorder="1" applyAlignment="1">
      <alignment vertical="center"/>
    </xf>
    <xf numFmtId="220" fontId="98" fillId="0" borderId="30" xfId="0" applyNumberFormat="1" applyFont="1" applyFill="1" applyBorder="1" applyAlignment="1">
      <alignment vertical="center"/>
    </xf>
    <xf numFmtId="0" fontId="7" fillId="0" borderId="69" xfId="0" applyFont="1" applyFill="1" applyBorder="1" applyAlignment="1">
      <alignment horizontal="center" vertical="center" wrapText="1"/>
    </xf>
    <xf numFmtId="38" fontId="33" fillId="0" borderId="69" xfId="5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8" fontId="33" fillId="0" borderId="52" xfId="50" applyFont="1" applyFill="1" applyBorder="1" applyAlignment="1">
      <alignment horizontal="center" vertical="center" wrapText="1"/>
    </xf>
    <xf numFmtId="38" fontId="33" fillId="0" borderId="99" xfId="50" applyFont="1" applyFill="1" applyBorder="1" applyAlignment="1">
      <alignment horizontal="center" vertical="center" wrapText="1"/>
    </xf>
    <xf numFmtId="220" fontId="15" fillId="0" borderId="39" xfId="50" applyNumberFormat="1" applyFont="1" applyFill="1" applyBorder="1" applyAlignment="1" applyProtection="1">
      <alignment vertical="center" shrinkToFit="1"/>
      <protection/>
    </xf>
    <xf numFmtId="220" fontId="34" fillId="0" borderId="11" xfId="50" applyNumberFormat="1" applyFont="1" applyFill="1" applyBorder="1" applyAlignment="1" applyProtection="1">
      <alignment vertical="center" shrinkToFit="1"/>
      <protection/>
    </xf>
    <xf numFmtId="220" fontId="15" fillId="0" borderId="38" xfId="50" applyNumberFormat="1" applyFont="1" applyFill="1" applyBorder="1" applyAlignment="1" applyProtection="1">
      <alignment vertical="center" shrinkToFit="1"/>
      <protection/>
    </xf>
    <xf numFmtId="220" fontId="34" fillId="0" borderId="53" xfId="50" applyNumberFormat="1" applyFont="1" applyFill="1" applyBorder="1" applyAlignment="1" applyProtection="1">
      <alignment vertical="center" shrinkToFit="1"/>
      <protection/>
    </xf>
    <xf numFmtId="220" fontId="15" fillId="0" borderId="11" xfId="50" applyNumberFormat="1" applyFont="1" applyFill="1" applyBorder="1" applyAlignment="1" applyProtection="1">
      <alignment vertical="center" shrinkToFit="1"/>
      <protection/>
    </xf>
    <xf numFmtId="220" fontId="15" fillId="0" borderId="42" xfId="50" applyNumberFormat="1" applyFont="1" applyFill="1" applyBorder="1" applyAlignment="1" applyProtection="1">
      <alignment vertical="center" shrinkToFit="1"/>
      <protection/>
    </xf>
    <xf numFmtId="220" fontId="34" fillId="0" borderId="31" xfId="50" applyNumberFormat="1" applyFont="1" applyFill="1" applyBorder="1" applyAlignment="1" applyProtection="1">
      <alignment vertical="center" shrinkToFit="1"/>
      <protection/>
    </xf>
    <xf numFmtId="220" fontId="15" fillId="0" borderId="41" xfId="50" applyNumberFormat="1" applyFont="1" applyFill="1" applyBorder="1" applyAlignment="1" applyProtection="1">
      <alignment vertical="center" shrinkToFit="1"/>
      <protection/>
    </xf>
    <xf numFmtId="220" fontId="34" fillId="0" borderId="30" xfId="50" applyNumberFormat="1" applyFont="1" applyFill="1" applyBorder="1" applyAlignment="1" applyProtection="1">
      <alignment vertical="center" shrinkToFit="1"/>
      <protection/>
    </xf>
    <xf numFmtId="220" fontId="15" fillId="0" borderId="31" xfId="50" applyNumberFormat="1" applyFont="1" applyFill="1" applyBorder="1" applyAlignment="1" applyProtection="1">
      <alignment vertical="center" shrinkToFit="1"/>
      <protection/>
    </xf>
    <xf numFmtId="220" fontId="15" fillId="0" borderId="78" xfId="50" applyNumberFormat="1" applyFont="1" applyFill="1" applyBorder="1" applyAlignment="1" applyProtection="1">
      <alignment vertical="center" shrinkToFit="1"/>
      <protection/>
    </xf>
    <xf numFmtId="220" fontId="15" fillId="0" borderId="28" xfId="50" applyNumberFormat="1" applyFont="1" applyFill="1" applyBorder="1" applyAlignment="1" applyProtection="1">
      <alignment vertical="center" shrinkToFit="1"/>
      <protection/>
    </xf>
    <xf numFmtId="220" fontId="15" fillId="0" borderId="79" xfId="50" applyNumberFormat="1" applyFont="1" applyFill="1" applyBorder="1" applyAlignment="1" applyProtection="1">
      <alignment vertical="center" shrinkToFit="1"/>
      <protection/>
    </xf>
    <xf numFmtId="220" fontId="34" fillId="0" borderId="26" xfId="50" applyNumberFormat="1" applyFont="1" applyFill="1" applyBorder="1" applyAlignment="1" applyProtection="1">
      <alignment vertical="center" shrinkToFit="1"/>
      <protection/>
    </xf>
    <xf numFmtId="220" fontId="15" fillId="0" borderId="45" xfId="50" applyNumberFormat="1" applyFont="1" applyFill="1" applyBorder="1" applyAlignment="1" applyProtection="1">
      <alignment vertical="center" shrinkToFit="1"/>
      <protection/>
    </xf>
    <xf numFmtId="220" fontId="15" fillId="0" borderId="52" xfId="50" applyNumberFormat="1" applyFont="1" applyFill="1" applyBorder="1" applyAlignment="1" applyProtection="1">
      <alignment vertical="center" shrinkToFit="1"/>
      <protection/>
    </xf>
    <xf numFmtId="220" fontId="34" fillId="0" borderId="76" xfId="50" applyNumberFormat="1" applyFont="1" applyFill="1" applyBorder="1" applyAlignment="1" applyProtection="1">
      <alignment vertical="center" shrinkToFit="1"/>
      <protection/>
    </xf>
    <xf numFmtId="220" fontId="34" fillId="0" borderId="84" xfId="50" applyNumberFormat="1" applyFont="1" applyFill="1" applyBorder="1" applyAlignment="1" applyProtection="1">
      <alignment vertical="center" shrinkToFit="1"/>
      <protection/>
    </xf>
    <xf numFmtId="220" fontId="34" fillId="0" borderId="0" xfId="50" applyNumberFormat="1" applyFont="1" applyFill="1" applyBorder="1" applyAlignment="1" applyProtection="1">
      <alignment vertical="center" shrinkToFit="1"/>
      <protection/>
    </xf>
    <xf numFmtId="220" fontId="15" fillId="0" borderId="0" xfId="50" applyNumberFormat="1" applyFont="1" applyFill="1" applyBorder="1" applyAlignment="1" applyProtection="1">
      <alignment vertical="center" shrinkToFit="1"/>
      <protection/>
    </xf>
    <xf numFmtId="220" fontId="15" fillId="0" borderId="85" xfId="50" applyNumberFormat="1" applyFont="1" applyFill="1" applyBorder="1" applyAlignment="1" applyProtection="1">
      <alignment vertical="center" shrinkToFit="1"/>
      <protection/>
    </xf>
    <xf numFmtId="220" fontId="34" fillId="0" borderId="83" xfId="50" applyNumberFormat="1" applyFont="1" applyFill="1" applyBorder="1" applyAlignment="1" applyProtection="1">
      <alignment vertical="center" shrinkToFit="1"/>
      <protection/>
    </xf>
    <xf numFmtId="0" fontId="33" fillId="0" borderId="69" xfId="0" applyFont="1" applyFill="1" applyBorder="1" applyAlignment="1">
      <alignment horizontal="center" vertical="top" wrapText="1"/>
    </xf>
    <xf numFmtId="0" fontId="33" fillId="0" borderId="81" xfId="0" applyFont="1" applyFill="1" applyBorder="1" applyAlignment="1">
      <alignment horizontal="center" vertical="top" wrapText="1"/>
    </xf>
    <xf numFmtId="220" fontId="13" fillId="0" borderId="84" xfId="0" applyNumberFormat="1" applyFont="1" applyFill="1" applyBorder="1" applyAlignment="1">
      <alignment horizontal="right" vertical="center"/>
    </xf>
    <xf numFmtId="220" fontId="13" fillId="0" borderId="70" xfId="0" applyNumberFormat="1" applyFont="1" applyFill="1" applyBorder="1" applyAlignment="1">
      <alignment horizontal="right" vertical="center"/>
    </xf>
    <xf numFmtId="220" fontId="13" fillId="0" borderId="58" xfId="0" applyNumberFormat="1" applyFont="1" applyFill="1" applyBorder="1" applyAlignment="1">
      <alignment horizontal="right" vertical="center"/>
    </xf>
    <xf numFmtId="220" fontId="56" fillId="0" borderId="23" xfId="0" applyNumberFormat="1" applyFont="1" applyFill="1" applyBorder="1" applyAlignment="1">
      <alignment horizontal="right" vertical="center" shrinkToFit="1"/>
    </xf>
    <xf numFmtId="220" fontId="56" fillId="0" borderId="92" xfId="0" applyNumberFormat="1" applyFont="1" applyFill="1" applyBorder="1" applyAlignment="1">
      <alignment horizontal="right" vertical="center" shrinkToFit="1"/>
    </xf>
    <xf numFmtId="37" fontId="13" fillId="0" borderId="32" xfId="0" applyNumberFormat="1" applyFont="1" applyFill="1" applyBorder="1" applyAlignment="1" applyProtection="1">
      <alignment horizontal="right" vertical="center"/>
      <protection/>
    </xf>
    <xf numFmtId="38" fontId="13" fillId="0" borderId="21" xfId="50" applyFont="1" applyFill="1" applyBorder="1" applyAlignment="1">
      <alignment horizontal="right" vertical="center"/>
    </xf>
    <xf numFmtId="37" fontId="13" fillId="0" borderId="28" xfId="0" applyNumberFormat="1" applyFont="1" applyFill="1" applyBorder="1" applyAlignment="1" applyProtection="1">
      <alignment horizontal="right" vertical="center"/>
      <protection/>
    </xf>
    <xf numFmtId="37" fontId="13" fillId="0" borderId="21" xfId="0" applyNumberFormat="1" applyFont="1" applyFill="1" applyBorder="1" applyAlignment="1" applyProtection="1">
      <alignment horizontal="right" vertical="center"/>
      <protection/>
    </xf>
    <xf numFmtId="37" fontId="13" fillId="0" borderId="52" xfId="0" applyNumberFormat="1" applyFont="1" applyFill="1" applyBorder="1" applyAlignment="1" applyProtection="1">
      <alignment horizontal="right" vertical="center"/>
      <protection/>
    </xf>
    <xf numFmtId="37" fontId="13" fillId="0" borderId="38" xfId="0" applyNumberFormat="1" applyFont="1" applyFill="1" applyBorder="1" applyAlignment="1" applyProtection="1">
      <alignment horizontal="right" vertical="center"/>
      <protection/>
    </xf>
    <xf numFmtId="220" fontId="13" fillId="0" borderId="21" xfId="68" applyNumberFormat="1" applyFont="1" applyFill="1" applyBorder="1" applyAlignment="1">
      <alignment horizontal="right" vertical="center"/>
      <protection/>
    </xf>
    <xf numFmtId="0" fontId="92" fillId="0" borderId="0" xfId="0" applyFont="1" applyFill="1" applyAlignment="1">
      <alignment vertical="center" shrinkToFit="1"/>
    </xf>
    <xf numFmtId="38" fontId="15" fillId="0" borderId="14" xfId="50" applyFont="1" applyFill="1" applyBorder="1" applyAlignment="1" applyProtection="1">
      <alignment vertical="center"/>
      <protection/>
    </xf>
    <xf numFmtId="176" fontId="15" fillId="0" borderId="14" xfId="50" applyNumberFormat="1" applyFont="1" applyFill="1" applyBorder="1" applyAlignment="1" applyProtection="1">
      <alignment vertical="center"/>
      <protection/>
    </xf>
    <xf numFmtId="38" fontId="15" fillId="0" borderId="14" xfId="50" applyNumberFormat="1" applyFont="1" applyFill="1" applyBorder="1" applyAlignment="1" applyProtection="1">
      <alignment horizontal="right" vertical="center"/>
      <protection/>
    </xf>
    <xf numFmtId="38" fontId="15" fillId="0" borderId="37" xfId="50" applyNumberFormat="1" applyFont="1" applyFill="1" applyBorder="1" applyAlignment="1" applyProtection="1">
      <alignment vertical="center"/>
      <protection/>
    </xf>
    <xf numFmtId="38" fontId="15" fillId="0" borderId="113" xfId="50" applyFont="1" applyFill="1" applyBorder="1" applyAlignment="1" applyProtection="1">
      <alignment vertical="center"/>
      <protection/>
    </xf>
    <xf numFmtId="176" fontId="15" fillId="0" borderId="113" xfId="50" applyNumberFormat="1" applyFont="1" applyFill="1" applyBorder="1" applyAlignment="1" applyProtection="1">
      <alignment vertical="center"/>
      <protection/>
    </xf>
    <xf numFmtId="38" fontId="15" fillId="0" borderId="113" xfId="50" applyNumberFormat="1" applyFont="1" applyFill="1" applyBorder="1" applyAlignment="1" applyProtection="1">
      <alignment horizontal="right" vertical="center"/>
      <protection/>
    </xf>
    <xf numFmtId="38" fontId="15" fillId="0" borderId="114" xfId="50" applyNumberFormat="1" applyFont="1" applyFill="1" applyBorder="1" applyAlignment="1" applyProtection="1">
      <alignment vertical="center"/>
      <protection/>
    </xf>
    <xf numFmtId="38" fontId="15" fillId="0" borderId="113" xfId="50" applyFont="1" applyFill="1" applyBorder="1" applyAlignment="1" applyProtection="1">
      <alignment vertical="center"/>
      <protection locked="0"/>
    </xf>
    <xf numFmtId="0" fontId="7" fillId="0" borderId="69" xfId="0" applyFont="1" applyFill="1" applyBorder="1" applyAlignment="1">
      <alignment vertical="center" wrapText="1"/>
    </xf>
    <xf numFmtId="38" fontId="15" fillId="0" borderId="85" xfId="50" applyFont="1" applyFill="1" applyBorder="1" applyAlignment="1" applyProtection="1">
      <alignment/>
      <protection/>
    </xf>
    <xf numFmtId="38" fontId="15" fillId="0" borderId="86" xfId="50" applyFont="1" applyFill="1" applyBorder="1" applyAlignment="1" applyProtection="1">
      <alignment/>
      <protection/>
    </xf>
    <xf numFmtId="38" fontId="84" fillId="0" borderId="103" xfId="50" applyFont="1" applyFill="1" applyBorder="1" applyAlignment="1" applyProtection="1">
      <alignment/>
      <protection/>
    </xf>
    <xf numFmtId="38" fontId="84" fillId="0" borderId="45" xfId="50" applyFont="1" applyFill="1" applyBorder="1" applyAlignment="1" applyProtection="1">
      <alignment/>
      <protection/>
    </xf>
    <xf numFmtId="38" fontId="84" fillId="0" borderId="55" xfId="50" applyFont="1" applyFill="1" applyBorder="1" applyAlignment="1" applyProtection="1">
      <alignment/>
      <protection/>
    </xf>
    <xf numFmtId="209" fontId="15" fillId="0" borderId="115" xfId="50" applyNumberFormat="1" applyFont="1" applyFill="1" applyBorder="1" applyAlignment="1" applyProtection="1">
      <alignment/>
      <protection/>
    </xf>
    <xf numFmtId="209" fontId="15" fillId="0" borderId="115" xfId="50" applyNumberFormat="1" applyFont="1" applyFill="1" applyBorder="1" applyAlignment="1" applyProtection="1">
      <alignment horizontal="right"/>
      <protection/>
    </xf>
    <xf numFmtId="209" fontId="15" fillId="0" borderId="116" xfId="50" applyNumberFormat="1" applyFont="1" applyFill="1" applyBorder="1" applyAlignment="1" applyProtection="1">
      <alignment horizontal="right"/>
      <protection/>
    </xf>
    <xf numFmtId="209" fontId="15" fillId="0" borderId="117" xfId="50" applyNumberFormat="1" applyFont="1" applyFill="1" applyBorder="1" applyAlignment="1" applyProtection="1">
      <alignment horizontal="right"/>
      <protection/>
    </xf>
    <xf numFmtId="209" fontId="15" fillId="0" borderId="118" xfId="50" applyNumberFormat="1" applyFont="1" applyFill="1" applyBorder="1" applyAlignment="1" applyProtection="1">
      <alignment horizontal="right"/>
      <protection/>
    </xf>
    <xf numFmtId="209" fontId="15" fillId="0" borderId="119" xfId="50" applyNumberFormat="1" applyFont="1" applyFill="1" applyBorder="1" applyAlignment="1" applyProtection="1">
      <alignment horizontal="right"/>
      <protection/>
    </xf>
    <xf numFmtId="38" fontId="84" fillId="0" borderId="26" xfId="50" applyFont="1" applyFill="1" applyBorder="1" applyAlignment="1" applyProtection="1">
      <alignment/>
      <protection/>
    </xf>
    <xf numFmtId="38" fontId="84" fillId="0" borderId="0" xfId="50" applyFont="1" applyFill="1" applyBorder="1" applyAlignment="1" applyProtection="1">
      <alignment/>
      <protection/>
    </xf>
    <xf numFmtId="38" fontId="13" fillId="0" borderId="51" xfId="50" applyNumberFormat="1" applyFont="1" applyFill="1" applyBorder="1" applyAlignment="1" applyProtection="1">
      <alignment horizontal="right" vertical="center"/>
      <protection locked="0"/>
    </xf>
    <xf numFmtId="38" fontId="7" fillId="0" borderId="21" xfId="5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vertical="center" wrapText="1"/>
    </xf>
    <xf numFmtId="38" fontId="13" fillId="0" borderId="41" xfId="50" applyFont="1" applyFill="1" applyBorder="1" applyAlignment="1">
      <alignment vertical="center"/>
    </xf>
    <xf numFmtId="38" fontId="13" fillId="0" borderId="30" xfId="50" applyFont="1" applyFill="1" applyBorder="1" applyAlignment="1" applyProtection="1">
      <alignment horizontal="left" vertical="center"/>
      <protection/>
    </xf>
    <xf numFmtId="220" fontId="13" fillId="0" borderId="30" xfId="0" applyNumberFormat="1" applyFont="1" applyFill="1" applyBorder="1" applyAlignment="1">
      <alignment vertical="center"/>
    </xf>
    <xf numFmtId="220" fontId="13" fillId="0" borderId="14" xfId="0" applyNumberFormat="1" applyFont="1" applyFill="1" applyBorder="1" applyAlignment="1">
      <alignment vertical="center"/>
    </xf>
    <xf numFmtId="220" fontId="13" fillId="0" borderId="37" xfId="0" applyNumberFormat="1" applyFont="1" applyFill="1" applyBorder="1" applyAlignment="1">
      <alignment vertical="center"/>
    </xf>
    <xf numFmtId="220" fontId="13" fillId="0" borderId="120" xfId="0" applyNumberFormat="1" applyFont="1" applyFill="1" applyBorder="1" applyAlignment="1">
      <alignment horizontal="right" vertical="center"/>
    </xf>
    <xf numFmtId="220" fontId="13" fillId="0" borderId="113" xfId="0" applyNumberFormat="1" applyFont="1" applyFill="1" applyBorder="1" applyAlignment="1">
      <alignment vertical="center"/>
    </xf>
    <xf numFmtId="220" fontId="13" fillId="0" borderId="114" xfId="0" applyNumberFormat="1" applyFont="1" applyFill="1" applyBorder="1" applyAlignment="1">
      <alignment vertical="center"/>
    </xf>
    <xf numFmtId="220" fontId="13" fillId="0" borderId="120" xfId="0" applyNumberFormat="1" applyFont="1" applyFill="1" applyBorder="1" applyAlignment="1">
      <alignment vertical="center"/>
    </xf>
    <xf numFmtId="0" fontId="83" fillId="0" borderId="46" xfId="0" applyFont="1" applyFill="1" applyBorder="1" applyAlignment="1">
      <alignment horizontal="center" vertical="center" shrinkToFit="1"/>
    </xf>
    <xf numFmtId="3" fontId="34" fillId="0" borderId="38" xfId="0" applyNumberFormat="1" applyFont="1" applyFill="1" applyBorder="1" applyAlignment="1">
      <alignment horizontal="right" vertical="center" wrapText="1" shrinkToFit="1"/>
    </xf>
    <xf numFmtId="0" fontId="14" fillId="0" borderId="0" xfId="0" applyFont="1" applyFill="1" applyAlignment="1">
      <alignment/>
    </xf>
    <xf numFmtId="3" fontId="34" fillId="0" borderId="51" xfId="0" applyNumberFormat="1" applyFont="1" applyFill="1" applyBorder="1" applyAlignment="1">
      <alignment horizontal="right" vertical="center" wrapText="1" shrinkToFit="1"/>
    </xf>
    <xf numFmtId="178" fontId="82" fillId="0" borderId="22" xfId="50" applyNumberFormat="1" applyFont="1" applyFill="1" applyBorder="1" applyAlignment="1" applyProtection="1">
      <alignment horizontal="center" vertical="center" wrapText="1"/>
      <protection/>
    </xf>
    <xf numFmtId="38" fontId="13" fillId="0" borderId="69" xfId="50" applyFont="1" applyFill="1" applyBorder="1" applyAlignment="1" applyProtection="1">
      <alignment horizontal="right" vertical="center" wrapText="1" shrinkToFit="1"/>
      <protection locked="0"/>
    </xf>
    <xf numFmtId="38" fontId="0" fillId="0" borderId="0" xfId="50" applyFont="1" applyFill="1" applyAlignment="1" applyProtection="1">
      <alignment vertical="center"/>
      <protection/>
    </xf>
    <xf numFmtId="0" fontId="0" fillId="0" borderId="11" xfId="0" applyFill="1" applyBorder="1" applyAlignment="1">
      <alignment vertical="center" wrapText="1"/>
    </xf>
    <xf numFmtId="38" fontId="0" fillId="0" borderId="0" xfId="50" applyFill="1" applyAlignment="1" applyProtection="1">
      <alignment vertical="center"/>
      <protection/>
    </xf>
    <xf numFmtId="38" fontId="0" fillId="0" borderId="0" xfId="50" applyFill="1" applyAlignment="1" applyProtection="1">
      <alignment horizontal="center" vertical="center"/>
      <protection/>
    </xf>
    <xf numFmtId="38" fontId="13" fillId="0" borderId="51" xfId="50" applyFont="1" applyFill="1" applyBorder="1" applyAlignment="1" applyProtection="1">
      <alignment horizontal="right" vertical="center" wrapText="1" shrinkToFit="1"/>
      <protection/>
    </xf>
    <xf numFmtId="178" fontId="5" fillId="0" borderId="0" xfId="50" applyNumberFormat="1" applyFont="1" applyFill="1" applyAlignment="1" applyProtection="1">
      <alignment vertical="center"/>
      <protection/>
    </xf>
    <xf numFmtId="3" fontId="5" fillId="0" borderId="0" xfId="50" applyNumberFormat="1" applyFont="1" applyFill="1" applyAlignment="1" applyProtection="1">
      <alignment vertical="center"/>
      <protection/>
    </xf>
    <xf numFmtId="0" fontId="82" fillId="0" borderId="22" xfId="0" applyFont="1" applyFill="1" applyBorder="1" applyAlignment="1">
      <alignment horizontal="center" vertical="center" shrinkToFit="1"/>
    </xf>
    <xf numFmtId="0" fontId="82" fillId="0" borderId="14" xfId="0" applyFont="1" applyFill="1" applyBorder="1" applyAlignment="1">
      <alignment horizontal="center" vertical="center" shrinkToFit="1"/>
    </xf>
    <xf numFmtId="0" fontId="83" fillId="0" borderId="37" xfId="0" applyFont="1" applyFill="1" applyBorder="1" applyAlignment="1">
      <alignment horizontal="center" vertical="center" shrinkToFit="1"/>
    </xf>
    <xf numFmtId="220" fontId="56" fillId="0" borderId="21" xfId="0" applyNumberFormat="1" applyFont="1" applyFill="1" applyBorder="1" applyAlignment="1">
      <alignment horizontal="right" vertical="center" wrapText="1" shrinkToFit="1"/>
    </xf>
    <xf numFmtId="220" fontId="56" fillId="0" borderId="69" xfId="0" applyNumberFormat="1" applyFont="1" applyFill="1" applyBorder="1" applyAlignment="1">
      <alignment horizontal="right" vertical="center" wrapText="1" shrinkToFit="1"/>
    </xf>
    <xf numFmtId="3" fontId="15" fillId="0" borderId="21" xfId="70" applyNumberFormat="1" applyFont="1" applyFill="1" applyBorder="1" applyAlignment="1">
      <alignment horizontal="right" vertical="center"/>
      <protection/>
    </xf>
    <xf numFmtId="181" fontId="61" fillId="0" borderId="16" xfId="50" applyNumberFormat="1" applyFont="1" applyFill="1" applyBorder="1" applyAlignment="1" applyProtection="1">
      <alignment vertical="center"/>
      <protection/>
    </xf>
    <xf numFmtId="38" fontId="61" fillId="0" borderId="29" xfId="50" applyFont="1" applyFill="1" applyBorder="1" applyAlignment="1" applyProtection="1">
      <alignment horizontal="distributed" vertical="center"/>
      <protection/>
    </xf>
    <xf numFmtId="38" fontId="61" fillId="0" borderId="69" xfId="50" applyFont="1" applyFill="1" applyBorder="1" applyAlignment="1" applyProtection="1">
      <alignment horizontal="distributed" vertical="center"/>
      <protection/>
    </xf>
    <xf numFmtId="37" fontId="61" fillId="0" borderId="22" xfId="0" applyNumberFormat="1" applyFont="1" applyFill="1" applyBorder="1" applyAlignment="1" applyProtection="1">
      <alignment horizontal="distributed" vertical="center"/>
      <protection/>
    </xf>
    <xf numFmtId="37" fontId="61" fillId="0" borderId="21" xfId="0" applyNumberFormat="1" applyFont="1" applyFill="1" applyBorder="1" applyAlignment="1" applyProtection="1">
      <alignment horizontal="distributed" vertical="center"/>
      <protection/>
    </xf>
    <xf numFmtId="37" fontId="61" fillId="0" borderId="32" xfId="0" applyNumberFormat="1" applyFont="1" applyFill="1" applyBorder="1" applyAlignment="1" applyProtection="1">
      <alignment horizontal="distributed" vertical="center"/>
      <protection/>
    </xf>
    <xf numFmtId="220" fontId="61" fillId="0" borderId="16" xfId="50" applyNumberFormat="1" applyFont="1" applyFill="1" applyBorder="1" applyAlignment="1" applyProtection="1">
      <alignment vertical="center"/>
      <protection/>
    </xf>
    <xf numFmtId="220" fontId="61" fillId="0" borderId="16" xfId="50" applyNumberFormat="1" applyFont="1" applyFill="1" applyBorder="1" applyAlignment="1" applyProtection="1">
      <alignment horizontal="right" vertical="center"/>
      <protection/>
    </xf>
    <xf numFmtId="220" fontId="61" fillId="0" borderId="17" xfId="50" applyNumberFormat="1" applyFont="1" applyFill="1" applyBorder="1" applyAlignment="1" applyProtection="1">
      <alignment vertical="center"/>
      <protection/>
    </xf>
    <xf numFmtId="38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220" fontId="61" fillId="0" borderId="69" xfId="0" applyNumberFormat="1" applyFont="1" applyFill="1" applyBorder="1" applyAlignment="1">
      <alignment vertical="center"/>
    </xf>
    <xf numFmtId="220" fontId="61" fillId="0" borderId="68" xfId="50" applyNumberFormat="1" applyFont="1" applyFill="1" applyBorder="1" applyAlignment="1" applyProtection="1">
      <alignment vertical="center"/>
      <protection/>
    </xf>
    <xf numFmtId="220" fontId="61" fillId="0" borderId="21" xfId="0" applyNumberFormat="1" applyFont="1" applyFill="1" applyBorder="1" applyAlignment="1">
      <alignment vertical="center"/>
    </xf>
    <xf numFmtId="220" fontId="61" fillId="0" borderId="35" xfId="50" applyNumberFormat="1" applyFont="1" applyFill="1" applyBorder="1" applyAlignment="1" applyProtection="1">
      <alignment vertical="center"/>
      <protection/>
    </xf>
    <xf numFmtId="220" fontId="61" fillId="0" borderId="22" xfId="0" applyNumberFormat="1" applyFont="1" applyFill="1" applyBorder="1" applyAlignment="1">
      <alignment vertical="center"/>
    </xf>
    <xf numFmtId="220" fontId="61" fillId="0" borderId="22" xfId="50" applyNumberFormat="1" applyFont="1" applyFill="1" applyBorder="1" applyAlignment="1" applyProtection="1">
      <alignment vertical="center"/>
      <protection/>
    </xf>
    <xf numFmtId="220" fontId="99" fillId="0" borderId="21" xfId="0" applyNumberFormat="1" applyFont="1" applyFill="1" applyBorder="1" applyAlignment="1">
      <alignment vertical="center"/>
    </xf>
    <xf numFmtId="220" fontId="99" fillId="0" borderId="21" xfId="0" applyNumberFormat="1" applyFont="1" applyFill="1" applyBorder="1" applyAlignment="1" applyProtection="1">
      <alignment vertical="center"/>
      <protection/>
    </xf>
    <xf numFmtId="0" fontId="62" fillId="0" borderId="0" xfId="0" applyFont="1" applyFill="1" applyAlignment="1">
      <alignment/>
    </xf>
    <xf numFmtId="220" fontId="61" fillId="0" borderId="21" xfId="0" applyNumberFormat="1" applyFont="1" applyFill="1" applyBorder="1" applyAlignment="1" applyProtection="1">
      <alignment vertical="center"/>
      <protection/>
    </xf>
    <xf numFmtId="220" fontId="61" fillId="0" borderId="32" xfId="0" applyNumberFormat="1" applyFont="1" applyFill="1" applyBorder="1" applyAlignment="1">
      <alignment vertical="center"/>
    </xf>
    <xf numFmtId="220" fontId="61" fillId="0" borderId="32" xfId="68" applyNumberFormat="1" applyFont="1" applyFill="1" applyBorder="1" applyAlignment="1">
      <alignment vertical="center" shrinkToFit="1"/>
      <protection/>
    </xf>
    <xf numFmtId="220" fontId="61" fillId="0" borderId="32" xfId="68" applyNumberFormat="1" applyFont="1" applyFill="1" applyBorder="1" applyAlignment="1" quotePrefix="1">
      <alignment vertical="center" shrinkToFit="1"/>
      <protection/>
    </xf>
    <xf numFmtId="220" fontId="61" fillId="0" borderId="66" xfId="0" applyNumberFormat="1" applyFont="1" applyFill="1" applyBorder="1" applyAlignment="1">
      <alignment vertical="center"/>
    </xf>
    <xf numFmtId="220" fontId="61" fillId="0" borderId="21" xfId="68" applyNumberFormat="1" applyFont="1" applyFill="1" applyBorder="1" applyAlignment="1">
      <alignment vertical="center" shrinkToFit="1"/>
      <protection/>
    </xf>
    <xf numFmtId="220" fontId="61" fillId="0" borderId="21" xfId="68" applyNumberFormat="1" applyFont="1" applyFill="1" applyBorder="1" applyAlignment="1" quotePrefix="1">
      <alignment vertical="center" shrinkToFit="1"/>
      <protection/>
    </xf>
    <xf numFmtId="220" fontId="61" fillId="0" borderId="35" xfId="0" applyNumberFormat="1" applyFont="1" applyFill="1" applyBorder="1" applyAlignment="1">
      <alignment vertical="center"/>
    </xf>
    <xf numFmtId="220" fontId="61" fillId="0" borderId="69" xfId="68" applyNumberFormat="1" applyFont="1" applyFill="1" applyBorder="1" applyAlignment="1">
      <alignment vertical="center" shrinkToFit="1"/>
      <protection/>
    </xf>
    <xf numFmtId="220" fontId="61" fillId="0" borderId="69" xfId="68" applyNumberFormat="1" applyFont="1" applyFill="1" applyBorder="1" applyAlignment="1" quotePrefix="1">
      <alignment vertical="center" shrinkToFit="1"/>
      <protection/>
    </xf>
    <xf numFmtId="220" fontId="61" fillId="0" borderId="68" xfId="0" applyNumberFormat="1" applyFont="1" applyFill="1" applyBorder="1" applyAlignment="1">
      <alignment vertical="center"/>
    </xf>
    <xf numFmtId="38" fontId="62" fillId="0" borderId="0" xfId="0" applyNumberFormat="1" applyFont="1" applyFill="1" applyAlignment="1">
      <alignment/>
    </xf>
    <xf numFmtId="220" fontId="61" fillId="0" borderId="32" xfId="0" applyNumberFormat="1" applyFont="1" applyFill="1" applyBorder="1" applyAlignment="1" applyProtection="1">
      <alignment vertical="center"/>
      <protection/>
    </xf>
    <xf numFmtId="220" fontId="61" fillId="0" borderId="66" xfId="50" applyNumberFormat="1" applyFont="1" applyFill="1" applyBorder="1" applyAlignment="1" applyProtection="1">
      <alignment vertical="center"/>
      <protection/>
    </xf>
    <xf numFmtId="220" fontId="61" fillId="0" borderId="22" xfId="0" applyNumberFormat="1" applyFont="1" applyFill="1" applyBorder="1" applyAlignment="1" applyProtection="1">
      <alignment vertical="center"/>
      <protection/>
    </xf>
    <xf numFmtId="38" fontId="61" fillId="0" borderId="29" xfId="50" applyFont="1" applyFill="1" applyBorder="1" applyAlignment="1" applyProtection="1">
      <alignment horizontal="center" vertical="center"/>
      <protection/>
    </xf>
    <xf numFmtId="181" fontId="61" fillId="0" borderId="14" xfId="50" applyNumberFormat="1" applyFont="1" applyFill="1" applyBorder="1" applyAlignment="1" applyProtection="1">
      <alignment vertical="center"/>
      <protection/>
    </xf>
    <xf numFmtId="220" fontId="61" fillId="0" borderId="14" xfId="50" applyNumberFormat="1" applyFont="1" applyFill="1" applyBorder="1" applyAlignment="1" applyProtection="1">
      <alignment horizontal="right" vertical="center"/>
      <protection/>
    </xf>
    <xf numFmtId="220" fontId="61" fillId="0" borderId="37" xfId="50" applyNumberFormat="1" applyFont="1" applyFill="1" applyBorder="1" applyAlignment="1" applyProtection="1">
      <alignment horizontal="right" vertical="center"/>
      <protection/>
    </xf>
    <xf numFmtId="220" fontId="61" fillId="0" borderId="113" xfId="0" applyNumberFormat="1" applyFont="1" applyFill="1" applyBorder="1" applyAlignment="1">
      <alignment vertical="center"/>
    </xf>
    <xf numFmtId="220" fontId="61" fillId="0" borderId="113" xfId="0" applyNumberFormat="1" applyFont="1" applyFill="1" applyBorder="1" applyAlignment="1" applyProtection="1">
      <alignment vertical="center"/>
      <protection/>
    </xf>
    <xf numFmtId="220" fontId="61" fillId="0" borderId="114" xfId="50" applyNumberFormat="1" applyFont="1" applyFill="1" applyBorder="1" applyAlignment="1" applyProtection="1">
      <alignment vertical="center"/>
      <protection/>
    </xf>
    <xf numFmtId="38" fontId="61" fillId="0" borderId="14" xfId="50" applyFont="1" applyFill="1" applyBorder="1" applyAlignment="1" applyProtection="1">
      <alignment horizontal="center" vertical="center"/>
      <protection/>
    </xf>
    <xf numFmtId="181" fontId="61" fillId="0" borderId="14" xfId="0" applyNumberFormat="1" applyFont="1" applyFill="1" applyBorder="1" applyAlignment="1">
      <alignment vertical="center"/>
    </xf>
    <xf numFmtId="220" fontId="61" fillId="0" borderId="14" xfId="0" applyNumberFormat="1" applyFont="1" applyFill="1" applyBorder="1" applyAlignment="1">
      <alignment vertical="center"/>
    </xf>
    <xf numFmtId="220" fontId="61" fillId="0" borderId="37" xfId="0" applyNumberFormat="1" applyFont="1" applyFill="1" applyBorder="1" applyAlignment="1">
      <alignment vertical="center"/>
    </xf>
    <xf numFmtId="37" fontId="61" fillId="0" borderId="113" xfId="0" applyNumberFormat="1" applyFont="1" applyFill="1" applyBorder="1" applyAlignment="1" applyProtection="1">
      <alignment horizontal="distributed" vertical="center"/>
      <protection/>
    </xf>
    <xf numFmtId="220" fontId="61" fillId="0" borderId="114" xfId="0" applyNumberFormat="1" applyFont="1" applyFill="1" applyBorder="1" applyAlignment="1">
      <alignment vertical="center"/>
    </xf>
    <xf numFmtId="181" fontId="100" fillId="0" borderId="16" xfId="50" applyNumberFormat="1" applyFont="1" applyFill="1" applyBorder="1" applyAlignment="1" applyProtection="1">
      <alignment horizontal="right" vertical="center"/>
      <protection/>
    </xf>
    <xf numFmtId="220" fontId="99" fillId="0" borderId="16" xfId="50" applyNumberFormat="1" applyFont="1" applyFill="1" applyBorder="1" applyAlignment="1" applyProtection="1">
      <alignment vertical="center"/>
      <protection/>
    </xf>
    <xf numFmtId="220" fontId="99" fillId="0" borderId="17" xfId="50" applyNumberFormat="1" applyFont="1" applyFill="1" applyBorder="1" applyAlignment="1" applyProtection="1">
      <alignment vertical="center"/>
      <protection/>
    </xf>
    <xf numFmtId="0" fontId="100" fillId="0" borderId="21" xfId="0" applyFont="1" applyFill="1" applyBorder="1" applyAlignment="1">
      <alignment horizontal="right" vertical="center"/>
    </xf>
    <xf numFmtId="220" fontId="99" fillId="0" borderId="21" xfId="0" applyNumberFormat="1" applyFont="1" applyFill="1" applyBorder="1" applyAlignment="1">
      <alignment horizontal="right" vertical="center"/>
    </xf>
    <xf numFmtId="220" fontId="99" fillId="0" borderId="46" xfId="50" applyNumberFormat="1" applyFont="1" applyFill="1" applyBorder="1" applyAlignment="1" applyProtection="1">
      <alignment vertical="center"/>
      <protection/>
    </xf>
    <xf numFmtId="220" fontId="99" fillId="0" borderId="13" xfId="0" applyNumberFormat="1" applyFont="1" applyFill="1" applyBorder="1" applyAlignment="1">
      <alignment vertical="center"/>
    </xf>
    <xf numFmtId="220" fontId="99" fillId="0" borderId="69" xfId="0" applyNumberFormat="1" applyFont="1" applyFill="1" applyBorder="1" applyAlignment="1">
      <alignment horizontal="right" vertical="center"/>
    </xf>
    <xf numFmtId="220" fontId="99" fillId="0" borderId="13" xfId="0" applyNumberFormat="1" applyFont="1" applyFill="1" applyBorder="1" applyAlignment="1" applyProtection="1">
      <alignment vertical="center"/>
      <protection/>
    </xf>
    <xf numFmtId="220" fontId="99" fillId="0" borderId="22" xfId="0" applyNumberFormat="1" applyFont="1" applyFill="1" applyBorder="1" applyAlignment="1">
      <alignment vertical="center"/>
    </xf>
    <xf numFmtId="220" fontId="99" fillId="0" borderId="24" xfId="50" applyNumberFormat="1" applyFont="1" applyFill="1" applyBorder="1" applyAlignment="1" applyProtection="1">
      <alignment vertical="center"/>
      <protection/>
    </xf>
    <xf numFmtId="220" fontId="99" fillId="0" borderId="32" xfId="0" applyNumberFormat="1" applyFont="1" applyFill="1" applyBorder="1" applyAlignment="1">
      <alignment vertical="center"/>
    </xf>
    <xf numFmtId="220" fontId="99" fillId="0" borderId="56" xfId="0" applyNumberFormat="1" applyFont="1" applyFill="1" applyBorder="1" applyAlignment="1">
      <alignment horizontal="right" vertical="center"/>
    </xf>
    <xf numFmtId="220" fontId="99" fillId="0" borderId="32" xfId="0" applyNumberFormat="1" applyFont="1" applyFill="1" applyBorder="1" applyAlignment="1" applyProtection="1">
      <alignment vertical="center"/>
      <protection/>
    </xf>
    <xf numFmtId="220" fontId="99" fillId="0" borderId="55" xfId="50" applyNumberFormat="1" applyFont="1" applyFill="1" applyBorder="1" applyAlignment="1" applyProtection="1">
      <alignment vertical="center"/>
      <protection/>
    </xf>
    <xf numFmtId="220" fontId="99" fillId="0" borderId="13" xfId="0" applyNumberFormat="1" applyFont="1" applyFill="1" applyBorder="1" applyAlignment="1">
      <alignment horizontal="right" vertical="center"/>
    </xf>
    <xf numFmtId="0" fontId="100" fillId="0" borderId="13" xfId="0" applyFont="1" applyFill="1" applyBorder="1" applyAlignment="1" applyProtection="1">
      <alignment horizontal="distributed" vertical="center"/>
      <protection/>
    </xf>
    <xf numFmtId="38" fontId="13" fillId="0" borderId="113" xfId="50" applyFont="1" applyFill="1" applyBorder="1" applyAlignment="1">
      <alignment vertical="center"/>
    </xf>
    <xf numFmtId="38" fontId="13" fillId="0" borderId="121" xfId="50" applyFont="1" applyFill="1" applyBorder="1" applyAlignment="1">
      <alignment vertical="center"/>
    </xf>
    <xf numFmtId="38" fontId="13" fillId="0" borderId="121" xfId="50" applyFont="1" applyFill="1" applyBorder="1" applyAlignment="1" applyProtection="1">
      <alignment vertical="center"/>
      <protection/>
    </xf>
    <xf numFmtId="38" fontId="13" fillId="0" borderId="121" xfId="50" applyFont="1" applyFill="1" applyBorder="1" applyAlignment="1" applyProtection="1">
      <alignment horizontal="right" vertical="center"/>
      <protection/>
    </xf>
    <xf numFmtId="38" fontId="13" fillId="0" borderId="114" xfId="50" applyFont="1" applyFill="1" applyBorder="1" applyAlignment="1">
      <alignment horizontal="right" vertical="center"/>
    </xf>
    <xf numFmtId="38" fontId="13" fillId="0" borderId="113" xfId="50" applyFont="1" applyFill="1" applyBorder="1" applyAlignment="1">
      <alignment horizontal="right" vertical="center"/>
    </xf>
    <xf numFmtId="38" fontId="13" fillId="0" borderId="113" xfId="50" applyFont="1" applyFill="1" applyBorder="1" applyAlignment="1" applyProtection="1">
      <alignment vertical="center"/>
      <protection/>
    </xf>
    <xf numFmtId="38" fontId="13" fillId="0" borderId="114" xfId="50" applyFont="1" applyFill="1" applyBorder="1" applyAlignment="1" applyProtection="1">
      <alignment horizontal="right" vertical="center" shrinkToFit="1"/>
      <protection/>
    </xf>
    <xf numFmtId="38" fontId="13" fillId="0" borderId="114" xfId="50" applyFont="1" applyFill="1" applyBorder="1" applyAlignment="1" applyProtection="1">
      <alignment vertical="center"/>
      <protection/>
    </xf>
    <xf numFmtId="37" fontId="13" fillId="0" borderId="118" xfId="0" applyNumberFormat="1" applyFont="1" applyFill="1" applyBorder="1" applyAlignment="1" applyProtection="1">
      <alignment vertical="center"/>
      <protection/>
    </xf>
    <xf numFmtId="37" fontId="13" fillId="0" borderId="115" xfId="0" applyNumberFormat="1" applyFont="1" applyFill="1" applyBorder="1" applyAlignment="1" applyProtection="1">
      <alignment vertical="center"/>
      <protection/>
    </xf>
    <xf numFmtId="37" fontId="13" fillId="0" borderId="119" xfId="0" applyNumberFormat="1" applyFont="1" applyFill="1" applyBorder="1" applyAlignment="1" applyProtection="1">
      <alignment vertical="center"/>
      <protection/>
    </xf>
    <xf numFmtId="0" fontId="8" fillId="0" borderId="122" xfId="0" applyFont="1" applyFill="1" applyBorder="1" applyAlignment="1" applyProtection="1">
      <alignment horizontal="left" vertical="center"/>
      <protection/>
    </xf>
    <xf numFmtId="37" fontId="13" fillId="0" borderId="23" xfId="0" applyNumberFormat="1" applyFont="1" applyFill="1" applyBorder="1" applyAlignment="1" applyProtection="1">
      <alignment vertical="center"/>
      <protection/>
    </xf>
    <xf numFmtId="0" fontId="13" fillId="0" borderId="45" xfId="0" applyFont="1" applyFill="1" applyBorder="1" applyAlignment="1">
      <alignment horizontal="left" vertical="center"/>
    </xf>
    <xf numFmtId="220" fontId="14" fillId="0" borderId="95" xfId="0" applyNumberFormat="1" applyFont="1" applyFill="1" applyBorder="1" applyAlignment="1">
      <alignment horizontal="center" vertical="center" shrinkToFit="1"/>
    </xf>
    <xf numFmtId="220" fontId="13" fillId="0" borderId="123" xfId="0" applyNumberFormat="1" applyFont="1" applyFill="1" applyBorder="1" applyAlignment="1">
      <alignment horizontal="right" vertical="center"/>
    </xf>
    <xf numFmtId="220" fontId="13" fillId="0" borderId="113" xfId="0" applyNumberFormat="1" applyFont="1" applyFill="1" applyBorder="1" applyAlignment="1">
      <alignment horizontal="right" vertical="center"/>
    </xf>
    <xf numFmtId="0" fontId="13" fillId="0" borderId="114" xfId="0" applyFont="1" applyFill="1" applyBorder="1" applyAlignment="1">
      <alignment vertical="center" shrinkToFit="1"/>
    </xf>
    <xf numFmtId="220" fontId="14" fillId="0" borderId="123" xfId="0" applyNumberFormat="1" applyFont="1" applyFill="1" applyBorder="1" applyAlignment="1">
      <alignment horizontal="center" vertical="center"/>
    </xf>
    <xf numFmtId="220" fontId="82" fillId="0" borderId="14" xfId="68" applyNumberFormat="1" applyFont="1" applyFill="1" applyBorder="1">
      <alignment vertical="center"/>
      <protection/>
    </xf>
    <xf numFmtId="220" fontId="82" fillId="0" borderId="37" xfId="68" applyNumberFormat="1" applyFont="1" applyFill="1" applyBorder="1">
      <alignment vertical="center"/>
      <protection/>
    </xf>
    <xf numFmtId="220" fontId="13" fillId="0" borderId="113" xfId="68" applyNumberFormat="1" applyFont="1" applyFill="1" applyBorder="1" applyAlignment="1">
      <alignment horizontal="right" vertical="center"/>
      <protection/>
    </xf>
    <xf numFmtId="220" fontId="13" fillId="0" borderId="113" xfId="68" applyNumberFormat="1" applyFont="1" applyFill="1" applyBorder="1">
      <alignment vertical="center"/>
      <protection/>
    </xf>
    <xf numFmtId="220" fontId="13" fillId="0" borderId="113" xfId="50" applyNumberFormat="1" applyFont="1" applyFill="1" applyBorder="1" applyAlignment="1">
      <alignment vertical="center" shrinkToFit="1"/>
    </xf>
    <xf numFmtId="220" fontId="13" fillId="0" borderId="114" xfId="68" applyNumberFormat="1" applyFont="1" applyFill="1" applyBorder="1">
      <alignment vertical="center"/>
      <protection/>
    </xf>
    <xf numFmtId="220" fontId="13" fillId="0" borderId="14" xfId="68" applyNumberFormat="1" applyFont="1" applyFill="1" applyBorder="1">
      <alignment vertical="center"/>
      <protection/>
    </xf>
    <xf numFmtId="220" fontId="13" fillId="0" borderId="37" xfId="68" applyNumberFormat="1" applyFont="1" applyFill="1" applyBorder="1">
      <alignment vertical="center"/>
      <protection/>
    </xf>
    <xf numFmtId="220" fontId="82" fillId="0" borderId="14" xfId="50" applyNumberFormat="1" applyFont="1" applyFill="1" applyBorder="1" applyAlignment="1">
      <alignment vertical="center" shrinkToFit="1"/>
    </xf>
    <xf numFmtId="0" fontId="13" fillId="0" borderId="113" xfId="0" applyFont="1" applyFill="1" applyBorder="1" applyAlignment="1">
      <alignment horizontal="distributed" vertical="center"/>
    </xf>
    <xf numFmtId="220" fontId="13" fillId="0" borderId="123" xfId="0" applyNumberFormat="1" applyFont="1" applyFill="1" applyBorder="1" applyAlignment="1">
      <alignment vertical="center"/>
    </xf>
    <xf numFmtId="220" fontId="13" fillId="0" borderId="121" xfId="0" applyNumberFormat="1" applyFont="1" applyFill="1" applyBorder="1" applyAlignment="1">
      <alignment vertical="center"/>
    </xf>
    <xf numFmtId="0" fontId="0" fillId="0" borderId="0" xfId="68" applyFont="1" applyFill="1">
      <alignment vertical="center"/>
      <protection/>
    </xf>
    <xf numFmtId="0" fontId="83" fillId="0" borderId="121" xfId="0" applyFont="1" applyFill="1" applyBorder="1" applyAlignment="1">
      <alignment horizontal="distributed" vertical="center"/>
    </xf>
    <xf numFmtId="220" fontId="15" fillId="0" borderId="124" xfId="0" applyNumberFormat="1" applyFont="1" applyFill="1" applyBorder="1" applyAlignment="1">
      <alignment vertical="center"/>
    </xf>
    <xf numFmtId="220" fontId="15" fillId="0" borderId="114" xfId="0" applyNumberFormat="1" applyFont="1" applyFill="1" applyBorder="1" applyAlignment="1">
      <alignment vertical="center"/>
    </xf>
    <xf numFmtId="220" fontId="84" fillId="0" borderId="120" xfId="0" applyNumberFormat="1" applyFont="1" applyFill="1" applyBorder="1" applyAlignment="1">
      <alignment vertical="center"/>
    </xf>
    <xf numFmtId="220" fontId="84" fillId="0" borderId="125" xfId="0" applyNumberFormat="1" applyFont="1" applyFill="1" applyBorder="1" applyAlignment="1">
      <alignment vertical="center"/>
    </xf>
    <xf numFmtId="220" fontId="15" fillId="0" borderId="126" xfId="0" applyNumberFormat="1" applyFont="1" applyFill="1" applyBorder="1" applyAlignment="1">
      <alignment vertical="center"/>
    </xf>
    <xf numFmtId="220" fontId="84" fillId="0" borderId="124" xfId="0" applyNumberFormat="1" applyFont="1" applyFill="1" applyBorder="1" applyAlignment="1">
      <alignment vertical="center"/>
    </xf>
    <xf numFmtId="220" fontId="13" fillId="0" borderId="108" xfId="50" applyNumberFormat="1" applyFont="1" applyFill="1" applyBorder="1" applyAlignment="1">
      <alignment/>
    </xf>
    <xf numFmtId="220" fontId="13" fillId="0" borderId="108" xfId="50" applyNumberFormat="1" applyFont="1" applyFill="1" applyBorder="1" applyAlignment="1">
      <alignment vertical="center"/>
    </xf>
    <xf numFmtId="220" fontId="82" fillId="0" borderId="37" xfId="50" applyNumberFormat="1" applyFont="1" applyFill="1" applyBorder="1" applyAlignment="1">
      <alignment/>
    </xf>
    <xf numFmtId="220" fontId="13" fillId="0" borderId="114" xfId="50" applyNumberFormat="1" applyFont="1" applyFill="1" applyBorder="1" applyAlignment="1">
      <alignment vertical="center"/>
    </xf>
    <xf numFmtId="0" fontId="82" fillId="0" borderId="90" xfId="0" applyFont="1" applyFill="1" applyBorder="1" applyAlignment="1">
      <alignment vertical="center"/>
    </xf>
    <xf numFmtId="220" fontId="9" fillId="0" borderId="69" xfId="69" applyNumberFormat="1" applyFont="1" applyFill="1" applyBorder="1" applyAlignment="1">
      <alignment horizontal="right"/>
      <protection/>
    </xf>
    <xf numFmtId="220" fontId="15" fillId="0" borderId="70" xfId="50" applyNumberFormat="1" applyFont="1" applyFill="1" applyBorder="1" applyAlignment="1" applyProtection="1">
      <alignment horizontal="center" vertical="center" shrinkToFit="1"/>
      <protection locked="0"/>
    </xf>
    <xf numFmtId="0" fontId="82" fillId="0" borderId="11" xfId="0" applyFont="1" applyFill="1" applyBorder="1" applyAlignment="1">
      <alignment horizontal="center" vertical="center" wrapText="1"/>
    </xf>
    <xf numFmtId="38" fontId="82" fillId="0" borderId="12" xfId="50" applyFont="1" applyFill="1" applyBorder="1" applyAlignment="1" applyProtection="1">
      <alignment horizontal="center" vertical="center"/>
      <protection/>
    </xf>
    <xf numFmtId="0" fontId="83" fillId="0" borderId="41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/>
    </xf>
    <xf numFmtId="0" fontId="15" fillId="0" borderId="90" xfId="67" applyFont="1" applyFill="1" applyBorder="1" applyAlignment="1" applyProtection="1">
      <alignment vertical="center" wrapText="1"/>
      <protection locked="0"/>
    </xf>
    <xf numFmtId="0" fontId="15" fillId="0" borderId="47" xfId="0" applyFont="1" applyFill="1" applyBorder="1" applyAlignment="1">
      <alignment vertical="center" wrapText="1"/>
    </xf>
    <xf numFmtId="0" fontId="15" fillId="0" borderId="90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220" fontId="15" fillId="0" borderId="127" xfId="0" applyNumberFormat="1" applyFont="1" applyFill="1" applyBorder="1" applyAlignment="1">
      <alignment vertical="center"/>
    </xf>
    <xf numFmtId="220" fontId="15" fillId="0" borderId="17" xfId="0" applyNumberFormat="1" applyFont="1" applyFill="1" applyBorder="1" applyAlignment="1">
      <alignment vertical="center"/>
    </xf>
    <xf numFmtId="220" fontId="15" fillId="0" borderId="58" xfId="0" applyNumberFormat="1" applyFont="1" applyFill="1" applyBorder="1" applyAlignment="1">
      <alignment vertical="center"/>
    </xf>
    <xf numFmtId="220" fontId="15" fillId="0" borderId="51" xfId="0" applyNumberFormat="1" applyFont="1" applyFill="1" applyBorder="1" applyAlignment="1">
      <alignment vertical="center"/>
    </xf>
    <xf numFmtId="220" fontId="15" fillId="0" borderId="128" xfId="0" applyNumberFormat="1" applyFont="1" applyFill="1" applyBorder="1" applyAlignment="1">
      <alignment vertical="center"/>
    </xf>
    <xf numFmtId="220" fontId="15" fillId="0" borderId="70" xfId="0" applyNumberFormat="1" applyFont="1" applyFill="1" applyBorder="1" applyAlignment="1">
      <alignment vertical="center"/>
    </xf>
    <xf numFmtId="220" fontId="15" fillId="0" borderId="23" xfId="0" applyNumberFormat="1" applyFont="1" applyFill="1" applyBorder="1" applyAlignment="1">
      <alignment vertical="center"/>
    </xf>
    <xf numFmtId="220" fontId="15" fillId="0" borderId="76" xfId="0" applyNumberFormat="1" applyFont="1" applyFill="1" applyBorder="1" applyAlignment="1">
      <alignment vertical="center"/>
    </xf>
    <xf numFmtId="220" fontId="15" fillId="0" borderId="28" xfId="0" applyNumberFormat="1" applyFont="1" applyFill="1" applyBorder="1" applyAlignment="1">
      <alignment vertical="center"/>
    </xf>
    <xf numFmtId="220" fontId="15" fillId="0" borderId="66" xfId="0" applyNumberFormat="1" applyFont="1" applyFill="1" applyBorder="1" applyAlignment="1">
      <alignment horizontal="right" vertical="center"/>
    </xf>
    <xf numFmtId="220" fontId="15" fillId="0" borderId="114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vertical="center"/>
    </xf>
    <xf numFmtId="0" fontId="8" fillId="0" borderId="45" xfId="0" applyFont="1" applyFill="1" applyBorder="1" applyAlignment="1" applyProtection="1">
      <alignment horizontal="left" vertical="center"/>
      <protection/>
    </xf>
    <xf numFmtId="0" fontId="8" fillId="0" borderId="45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left" vertical="center"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8" xfId="0" applyFont="1" applyFill="1" applyBorder="1" applyAlignment="1">
      <alignment vertical="center" shrinkToFit="1"/>
    </xf>
    <xf numFmtId="0" fontId="8" fillId="0" borderId="45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122" xfId="0" applyFont="1" applyFill="1" applyBorder="1" applyAlignment="1">
      <alignment vertical="center" shrinkToFit="1"/>
    </xf>
    <xf numFmtId="0" fontId="8" fillId="0" borderId="69" xfId="0" applyFont="1" applyFill="1" applyBorder="1" applyAlignment="1">
      <alignment vertical="center" shrinkToFit="1"/>
    </xf>
    <xf numFmtId="0" fontId="8" fillId="0" borderId="29" xfId="0" applyFont="1" applyFill="1" applyBorder="1" applyAlignment="1" applyProtection="1">
      <alignment horizontal="left" vertical="center"/>
      <protection/>
    </xf>
    <xf numFmtId="0" fontId="8" fillId="0" borderId="69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8" fillId="0" borderId="52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15" xfId="0" applyFont="1" applyFill="1" applyBorder="1" applyAlignment="1" applyProtection="1">
      <alignment horizontal="left" vertical="center"/>
      <protection/>
    </xf>
    <xf numFmtId="0" fontId="8" fillId="0" borderId="56" xfId="0" applyFont="1" applyFill="1" applyBorder="1" applyAlignment="1" applyProtection="1">
      <alignment horizontal="left" vertical="center"/>
      <protection/>
    </xf>
    <xf numFmtId="0" fontId="8" fillId="0" borderId="52" xfId="0" applyFont="1" applyFill="1" applyBorder="1" applyAlignment="1" applyProtection="1">
      <alignment horizontal="left" vertical="center"/>
      <protection/>
    </xf>
    <xf numFmtId="0" fontId="8" fillId="0" borderId="28" xfId="0" applyFont="1" applyFill="1" applyBorder="1" applyAlignment="1" applyProtection="1">
      <alignment horizontal="left" vertical="center"/>
      <protection/>
    </xf>
    <xf numFmtId="0" fontId="100" fillId="0" borderId="13" xfId="0" applyFont="1" applyFill="1" applyBorder="1" applyAlignment="1">
      <alignment horizontal="right" vertical="center"/>
    </xf>
    <xf numFmtId="0" fontId="100" fillId="0" borderId="69" xfId="0" applyFont="1" applyFill="1" applyBorder="1" applyAlignment="1">
      <alignment horizontal="right" vertical="center"/>
    </xf>
    <xf numFmtId="0" fontId="61" fillId="0" borderId="69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>
      <alignment horizontal="left" vertical="center"/>
    </xf>
    <xf numFmtId="0" fontId="99" fillId="0" borderId="21" xfId="0" applyFont="1" applyFill="1" applyBorder="1" applyAlignment="1" applyProtection="1" quotePrefix="1">
      <alignment horizontal="left" vertical="center"/>
      <protection/>
    </xf>
    <xf numFmtId="0" fontId="61" fillId="0" borderId="21" xfId="0" applyFont="1" applyFill="1" applyBorder="1" applyAlignment="1" applyProtection="1" quotePrefix="1">
      <alignment horizontal="left" vertical="center"/>
      <protection/>
    </xf>
    <xf numFmtId="0" fontId="61" fillId="0" borderId="113" xfId="0" applyFont="1" applyFill="1" applyBorder="1" applyAlignment="1" applyProtection="1" quotePrefix="1">
      <alignment horizontal="left" vertical="center"/>
      <protection/>
    </xf>
    <xf numFmtId="185" fontId="61" fillId="0" borderId="32" xfId="0" applyNumberFormat="1" applyFont="1" applyFill="1" applyBorder="1" applyAlignment="1" applyProtection="1">
      <alignment horizontal="left" vertical="center"/>
      <protection/>
    </xf>
    <xf numFmtId="185" fontId="61" fillId="0" borderId="21" xfId="0" applyNumberFormat="1" applyFont="1" applyFill="1" applyBorder="1" applyAlignment="1" applyProtection="1">
      <alignment horizontal="left" vertical="center"/>
      <protection/>
    </xf>
    <xf numFmtId="185" fontId="61" fillId="0" borderId="69" xfId="0" applyNumberFormat="1" applyFont="1" applyFill="1" applyBorder="1" applyAlignment="1" applyProtection="1">
      <alignment horizontal="left" vertical="center"/>
      <protection/>
    </xf>
    <xf numFmtId="37" fontId="61" fillId="0" borderId="21" xfId="0" applyNumberFormat="1" applyFont="1" applyFill="1" applyBorder="1" applyAlignment="1" applyProtection="1">
      <alignment horizontal="left" vertical="center"/>
      <protection/>
    </xf>
    <xf numFmtId="37" fontId="61" fillId="0" borderId="113" xfId="0" applyNumberFormat="1" applyFont="1" applyFill="1" applyBorder="1" applyAlignment="1" applyProtection="1">
      <alignment horizontal="left" vertical="center"/>
      <protection/>
    </xf>
    <xf numFmtId="0" fontId="61" fillId="0" borderId="32" xfId="0" applyFont="1" applyFill="1" applyBorder="1" applyAlignment="1" applyProtection="1">
      <alignment vertical="center"/>
      <protection/>
    </xf>
    <xf numFmtId="0" fontId="61" fillId="0" borderId="21" xfId="0" applyFont="1" applyFill="1" applyBorder="1" applyAlignment="1" applyProtection="1">
      <alignment vertical="center"/>
      <protection/>
    </xf>
    <xf numFmtId="0" fontId="61" fillId="0" borderId="22" xfId="0" applyFont="1" applyFill="1" applyBorder="1" applyAlignment="1" applyProtection="1">
      <alignment vertical="center"/>
      <protection/>
    </xf>
    <xf numFmtId="0" fontId="61" fillId="0" borderId="113" xfId="0" applyFont="1" applyFill="1" applyBorder="1" applyAlignment="1" applyProtection="1">
      <alignment horizontal="left" vertical="center"/>
      <protection/>
    </xf>
    <xf numFmtId="0" fontId="2" fillId="0" borderId="51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/>
    </xf>
    <xf numFmtId="0" fontId="14" fillId="0" borderId="32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horizontal="distributed" vertical="center" shrinkToFit="1"/>
    </xf>
    <xf numFmtId="0" fontId="34" fillId="0" borderId="21" xfId="0" applyFont="1" applyFill="1" applyBorder="1" applyAlignment="1">
      <alignment horizontal="distributed" vertical="center" shrinkToFit="1"/>
    </xf>
    <xf numFmtId="0" fontId="14" fillId="0" borderId="69" xfId="0" applyFont="1" applyFill="1" applyBorder="1" applyAlignment="1">
      <alignment horizontal="distributed" vertical="center" shrinkToFit="1"/>
    </xf>
    <xf numFmtId="38" fontId="0" fillId="0" borderId="0" xfId="5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3" fontId="13" fillId="0" borderId="94" xfId="0" applyNumberFormat="1" applyFont="1" applyFill="1" applyBorder="1" applyAlignment="1">
      <alignment horizontal="right" vertical="center" wrapText="1"/>
    </xf>
    <xf numFmtId="3" fontId="13" fillId="0" borderId="95" xfId="0" applyNumberFormat="1" applyFont="1" applyFill="1" applyBorder="1" applyAlignment="1">
      <alignment horizontal="right" vertical="center" wrapText="1"/>
    </xf>
    <xf numFmtId="3" fontId="13" fillId="0" borderId="96" xfId="0" applyNumberFormat="1" applyFont="1" applyFill="1" applyBorder="1" applyAlignment="1">
      <alignment horizontal="right" vertical="center" wrapText="1"/>
    </xf>
    <xf numFmtId="220" fontId="13" fillId="0" borderId="129" xfId="0" applyNumberFormat="1" applyFont="1" applyFill="1" applyBorder="1" applyAlignment="1">
      <alignment vertical="center"/>
    </xf>
    <xf numFmtId="220" fontId="13" fillId="0" borderId="108" xfId="0" applyNumberFormat="1" applyFont="1" applyFill="1" applyBorder="1" applyAlignment="1">
      <alignment vertical="center"/>
    </xf>
    <xf numFmtId="0" fontId="82" fillId="0" borderId="34" xfId="0" applyFont="1" applyFill="1" applyBorder="1" applyAlignment="1">
      <alignment horizontal="center" vertical="center"/>
    </xf>
    <xf numFmtId="0" fontId="82" fillId="0" borderId="13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220" fontId="82" fillId="0" borderId="0" xfId="50" applyNumberFormat="1" applyFont="1" applyFill="1" applyBorder="1" applyAlignment="1">
      <alignment/>
    </xf>
    <xf numFmtId="220" fontId="82" fillId="0" borderId="37" xfId="0" applyNumberFormat="1" applyFont="1" applyFill="1" applyBorder="1" applyAlignment="1">
      <alignment vertical="center"/>
    </xf>
    <xf numFmtId="0" fontId="13" fillId="0" borderId="121" xfId="0" applyFont="1" applyFill="1" applyBorder="1" applyAlignment="1">
      <alignment horizontal="distributed" vertical="center"/>
    </xf>
    <xf numFmtId="38" fontId="13" fillId="0" borderId="17" xfId="50" applyFont="1" applyFill="1" applyBorder="1" applyAlignment="1" applyProtection="1">
      <alignment vertical="center"/>
      <protection/>
    </xf>
    <xf numFmtId="38" fontId="13" fillId="0" borderId="66" xfId="50" applyFont="1" applyFill="1" applyBorder="1" applyAlignment="1" applyProtection="1">
      <alignment vertical="center"/>
      <protection locked="0"/>
    </xf>
    <xf numFmtId="38" fontId="13" fillId="0" borderId="68" xfId="50" applyFont="1" applyFill="1" applyBorder="1" applyAlignment="1" applyProtection="1">
      <alignment vertical="center"/>
      <protection locked="0"/>
    </xf>
    <xf numFmtId="38" fontId="13" fillId="0" borderId="68" xfId="50" applyFont="1" applyFill="1" applyBorder="1" applyAlignment="1" applyProtection="1">
      <alignment horizontal="right" vertical="center"/>
      <protection locked="0"/>
    </xf>
    <xf numFmtId="38" fontId="13" fillId="0" borderId="25" xfId="50" applyFont="1" applyFill="1" applyBorder="1" applyAlignment="1" applyProtection="1">
      <alignment vertical="center"/>
      <protection/>
    </xf>
    <xf numFmtId="38" fontId="13" fillId="0" borderId="87" xfId="50" applyFont="1" applyFill="1" applyBorder="1" applyAlignment="1" applyProtection="1">
      <alignment horizontal="center" vertical="center"/>
      <protection locked="0"/>
    </xf>
    <xf numFmtId="38" fontId="13" fillId="0" borderId="60" xfId="50" applyFont="1" applyFill="1" applyBorder="1" applyAlignment="1" applyProtection="1">
      <alignment horizontal="center" vertical="center"/>
      <protection locked="0"/>
    </xf>
    <xf numFmtId="38" fontId="13" fillId="0" borderId="14" xfId="50" applyFont="1" applyFill="1" applyBorder="1" applyAlignment="1" applyProtection="1">
      <alignment horizontal="center" vertical="center"/>
      <protection locked="0"/>
    </xf>
    <xf numFmtId="38" fontId="13" fillId="0" borderId="14" xfId="50" applyFont="1" applyFill="1" applyBorder="1" applyAlignment="1" applyProtection="1">
      <alignment vertical="center"/>
      <protection locked="0"/>
    </xf>
    <xf numFmtId="38" fontId="13" fillId="0" borderId="41" xfId="50" applyFont="1" applyFill="1" applyBorder="1" applyAlignment="1" applyProtection="1">
      <alignment vertical="center"/>
      <protection locked="0"/>
    </xf>
    <xf numFmtId="182" fontId="13" fillId="0" borderId="30" xfId="50" applyNumberFormat="1" applyFont="1" applyFill="1" applyBorder="1" applyAlignment="1" applyProtection="1">
      <alignment vertical="center"/>
      <protection locked="0"/>
    </xf>
    <xf numFmtId="38" fontId="13" fillId="0" borderId="37" xfId="50" applyFont="1" applyFill="1" applyBorder="1" applyAlignment="1" applyProtection="1">
      <alignment vertical="center"/>
      <protection locked="0"/>
    </xf>
    <xf numFmtId="38" fontId="13" fillId="0" borderId="102" xfId="50" applyFont="1" applyFill="1" applyBorder="1" applyAlignment="1" applyProtection="1">
      <alignment horizontal="center" vertical="center"/>
      <protection locked="0"/>
    </xf>
    <xf numFmtId="176" fontId="13" fillId="0" borderId="37" xfId="50" applyNumberFormat="1" applyFont="1" applyFill="1" applyBorder="1" applyAlignment="1" applyProtection="1">
      <alignment vertical="center"/>
      <protection/>
    </xf>
    <xf numFmtId="38" fontId="13" fillId="0" borderId="113" xfId="50" applyFont="1" applyFill="1" applyBorder="1" applyAlignment="1" applyProtection="1">
      <alignment horizontal="center" vertical="center"/>
      <protection locked="0"/>
    </xf>
    <xf numFmtId="0" fontId="13" fillId="0" borderId="131" xfId="50" applyNumberFormat="1" applyFont="1" applyFill="1" applyBorder="1" applyAlignment="1" applyProtection="1">
      <alignment vertical="center"/>
      <protection/>
    </xf>
    <xf numFmtId="0" fontId="13" fillId="0" borderId="121" xfId="50" applyNumberFormat="1" applyFont="1" applyFill="1" applyBorder="1" applyAlignment="1" applyProtection="1">
      <alignment horizontal="right" vertical="center"/>
      <protection/>
    </xf>
    <xf numFmtId="182" fontId="13" fillId="0" borderId="120" xfId="50" applyNumberFormat="1" applyFont="1" applyFill="1" applyBorder="1" applyAlignment="1" applyProtection="1">
      <alignment vertical="center"/>
      <protection/>
    </xf>
    <xf numFmtId="38" fontId="13" fillId="0" borderId="124" xfId="50" applyFont="1" applyFill="1" applyBorder="1" applyAlignment="1" applyProtection="1">
      <alignment horizontal="center" vertical="center"/>
      <protection locked="0"/>
    </xf>
    <xf numFmtId="38" fontId="13" fillId="0" borderId="113" xfId="50" applyFont="1" applyFill="1" applyBorder="1" applyAlignment="1" applyProtection="1">
      <alignment horizontal="right" vertical="center" shrinkToFit="1"/>
      <protection/>
    </xf>
    <xf numFmtId="3" fontId="13" fillId="0" borderId="121" xfId="50" applyNumberFormat="1" applyFont="1" applyFill="1" applyBorder="1" applyAlignment="1" applyProtection="1">
      <alignment vertical="center"/>
      <protection/>
    </xf>
    <xf numFmtId="176" fontId="13" fillId="0" borderId="114" xfId="50" applyNumberFormat="1" applyFont="1" applyFill="1" applyBorder="1" applyAlignment="1" applyProtection="1">
      <alignment vertical="center"/>
      <protection/>
    </xf>
    <xf numFmtId="0" fontId="13" fillId="0" borderId="41" xfId="50" applyNumberFormat="1" applyFont="1" applyFill="1" applyBorder="1" applyAlignment="1" applyProtection="1">
      <alignment vertical="center"/>
      <protection locked="0"/>
    </xf>
    <xf numFmtId="0" fontId="13" fillId="0" borderId="121" xfId="50" applyNumberFormat="1" applyFont="1" applyFill="1" applyBorder="1" applyAlignment="1" applyProtection="1">
      <alignment vertical="center"/>
      <protection/>
    </xf>
    <xf numFmtId="38" fontId="13" fillId="0" borderId="113" xfId="50" applyFont="1" applyFill="1" applyBorder="1" applyAlignment="1" applyProtection="1">
      <alignment vertical="center"/>
      <protection locked="0"/>
    </xf>
    <xf numFmtId="0" fontId="13" fillId="0" borderId="131" xfId="50" applyNumberFormat="1" applyFont="1" applyFill="1" applyBorder="1" applyAlignment="1" applyProtection="1">
      <alignment horizontal="right" vertical="center"/>
      <protection locked="0"/>
    </xf>
    <xf numFmtId="0" fontId="13" fillId="0" borderId="121" xfId="50" applyNumberFormat="1" applyFont="1" applyFill="1" applyBorder="1" applyAlignment="1" applyProtection="1">
      <alignment vertical="center"/>
      <protection locked="0"/>
    </xf>
    <xf numFmtId="182" fontId="13" fillId="0" borderId="120" xfId="50" applyNumberFormat="1" applyFont="1" applyFill="1" applyBorder="1" applyAlignment="1" applyProtection="1">
      <alignment vertical="center"/>
      <protection locked="0"/>
    </xf>
    <xf numFmtId="38" fontId="13" fillId="0" borderId="114" xfId="50" applyFont="1" applyFill="1" applyBorder="1" applyAlignment="1" applyProtection="1">
      <alignment vertical="center"/>
      <protection locked="0"/>
    </xf>
    <xf numFmtId="220" fontId="13" fillId="0" borderId="113" xfId="50" applyNumberFormat="1" applyFont="1" applyFill="1" applyBorder="1" applyAlignment="1" applyProtection="1">
      <alignment vertical="center"/>
      <protection/>
    </xf>
    <xf numFmtId="220" fontId="13" fillId="0" borderId="113" xfId="50" applyNumberFormat="1" applyFont="1" applyFill="1" applyBorder="1" applyAlignment="1" applyProtection="1">
      <alignment vertical="center"/>
      <protection locked="0"/>
    </xf>
    <xf numFmtId="220" fontId="13" fillId="0" borderId="121" xfId="50" applyNumberFormat="1" applyFont="1" applyFill="1" applyBorder="1" applyAlignment="1" applyProtection="1">
      <alignment vertical="center"/>
      <protection/>
    </xf>
    <xf numFmtId="220" fontId="82" fillId="0" borderId="14" xfId="50" applyNumberFormat="1" applyFont="1" applyFill="1" applyBorder="1" applyAlignment="1" applyProtection="1">
      <alignment vertical="center"/>
      <protection locked="0"/>
    </xf>
    <xf numFmtId="220" fontId="82" fillId="0" borderId="17" xfId="50" applyNumberFormat="1" applyFont="1" applyFill="1" applyBorder="1" applyAlignment="1" applyProtection="1">
      <alignment vertical="center"/>
      <protection/>
    </xf>
    <xf numFmtId="220" fontId="13" fillId="0" borderId="35" xfId="50" applyNumberFormat="1" applyFont="1" applyFill="1" applyBorder="1" applyAlignment="1" applyProtection="1">
      <alignment horizontal="right" vertical="center"/>
      <protection/>
    </xf>
    <xf numFmtId="220" fontId="13" fillId="0" borderId="114" xfId="50" applyNumberFormat="1" applyFont="1" applyFill="1" applyBorder="1" applyAlignment="1" applyProtection="1">
      <alignment vertical="center"/>
      <protection/>
    </xf>
    <xf numFmtId="220" fontId="82" fillId="0" borderId="37" xfId="50" applyNumberFormat="1" applyFont="1" applyFill="1" applyBorder="1" applyAlignment="1" applyProtection="1">
      <alignment vertical="center"/>
      <protection/>
    </xf>
    <xf numFmtId="220" fontId="82" fillId="0" borderId="25" xfId="50" applyNumberFormat="1" applyFont="1" applyFill="1" applyBorder="1" applyAlignment="1" applyProtection="1">
      <alignment vertical="center"/>
      <protection/>
    </xf>
    <xf numFmtId="220" fontId="13" fillId="0" borderId="87" xfId="50" applyNumberFormat="1" applyFont="1" applyFill="1" applyBorder="1" applyAlignment="1" applyProtection="1">
      <alignment vertical="center"/>
      <protection/>
    </xf>
    <xf numFmtId="220" fontId="13" fillId="0" borderId="47" xfId="50" applyNumberFormat="1" applyFont="1" applyFill="1" applyBorder="1" applyAlignment="1" applyProtection="1">
      <alignment vertical="center"/>
      <protection/>
    </xf>
    <xf numFmtId="220" fontId="13" fillId="0" borderId="61" xfId="50" applyNumberFormat="1" applyFont="1" applyFill="1" applyBorder="1" applyAlignment="1" applyProtection="1">
      <alignment vertical="center"/>
      <protection/>
    </xf>
    <xf numFmtId="220" fontId="13" fillId="0" borderId="124" xfId="50" applyNumberFormat="1" applyFont="1" applyFill="1" applyBorder="1" applyAlignment="1" applyProtection="1">
      <alignment vertical="center"/>
      <protection/>
    </xf>
    <xf numFmtId="220" fontId="82" fillId="0" borderId="102" xfId="50" applyNumberFormat="1" applyFont="1" applyFill="1" applyBorder="1" applyAlignment="1" applyProtection="1">
      <alignment vertical="center"/>
      <protection/>
    </xf>
    <xf numFmtId="220" fontId="13" fillId="0" borderId="68" xfId="50" applyNumberFormat="1" applyFont="1" applyFill="1" applyBorder="1" applyAlignment="1" applyProtection="1">
      <alignment vertical="center"/>
      <protection locked="0"/>
    </xf>
    <xf numFmtId="220" fontId="13" fillId="0" borderId="35" xfId="50" applyNumberFormat="1" applyFont="1" applyFill="1" applyBorder="1" applyAlignment="1" applyProtection="1">
      <alignment vertical="center"/>
      <protection locked="0"/>
    </xf>
    <xf numFmtId="220" fontId="13" fillId="0" borderId="46" xfId="50" applyNumberFormat="1" applyFont="1" applyFill="1" applyBorder="1" applyAlignment="1" applyProtection="1">
      <alignment vertical="center"/>
      <protection locked="0"/>
    </xf>
    <xf numFmtId="220" fontId="13" fillId="0" borderId="66" xfId="50" applyNumberFormat="1" applyFont="1" applyFill="1" applyBorder="1" applyAlignment="1" applyProtection="1">
      <alignment vertical="center"/>
      <protection locked="0"/>
    </xf>
    <xf numFmtId="38" fontId="14" fillId="0" borderId="59" xfId="50" applyFont="1" applyFill="1" applyBorder="1" applyAlignment="1" applyProtection="1">
      <alignment horizontal="center" vertical="center" wrapText="1"/>
      <protection/>
    </xf>
    <xf numFmtId="220" fontId="13" fillId="0" borderId="25" xfId="50" applyNumberFormat="1" applyFont="1" applyFill="1" applyBorder="1" applyAlignment="1" applyProtection="1">
      <alignment vertical="center"/>
      <protection/>
    </xf>
    <xf numFmtId="220" fontId="13" fillId="0" borderId="60" xfId="50" applyNumberFormat="1" applyFont="1" applyFill="1" applyBorder="1" applyAlignment="1" applyProtection="1">
      <alignment vertical="center"/>
      <protection locked="0"/>
    </xf>
    <xf numFmtId="220" fontId="13" fillId="0" borderId="47" xfId="50" applyNumberFormat="1" applyFont="1" applyFill="1" applyBorder="1" applyAlignment="1" applyProtection="1">
      <alignment vertical="center"/>
      <protection locked="0"/>
    </xf>
    <xf numFmtId="220" fontId="13" fillId="0" borderId="61" xfId="50" applyNumberFormat="1" applyFont="1" applyFill="1" applyBorder="1" applyAlignment="1" applyProtection="1">
      <alignment vertical="center"/>
      <protection locked="0"/>
    </xf>
    <xf numFmtId="220" fontId="13" fillId="0" borderId="102" xfId="50" applyNumberFormat="1" applyFont="1" applyFill="1" applyBorder="1" applyAlignment="1" applyProtection="1">
      <alignment vertical="center"/>
      <protection/>
    </xf>
    <xf numFmtId="220" fontId="13" fillId="0" borderId="87" xfId="50" applyNumberFormat="1" applyFont="1" applyFill="1" applyBorder="1" applyAlignment="1" applyProtection="1">
      <alignment vertical="center"/>
      <protection locked="0"/>
    </xf>
    <xf numFmtId="220" fontId="13" fillId="0" borderId="14" xfId="50" applyNumberFormat="1" applyFont="1" applyFill="1" applyBorder="1" applyAlignment="1" applyProtection="1">
      <alignment vertical="center"/>
      <protection locked="0"/>
    </xf>
    <xf numFmtId="220" fontId="13" fillId="0" borderId="114" xfId="50" applyNumberFormat="1" applyFont="1" applyFill="1" applyBorder="1" applyAlignment="1" applyProtection="1">
      <alignment vertical="center"/>
      <protection locked="0"/>
    </xf>
    <xf numFmtId="220" fontId="13" fillId="0" borderId="124" xfId="50" applyNumberFormat="1" applyFont="1" applyFill="1" applyBorder="1" applyAlignment="1" applyProtection="1">
      <alignment vertical="center"/>
      <protection locked="0"/>
    </xf>
    <xf numFmtId="220" fontId="15" fillId="0" borderId="116" xfId="50" applyNumberFormat="1" applyFont="1" applyFill="1" applyBorder="1" applyAlignment="1" applyProtection="1">
      <alignment vertical="center" shrinkToFit="1"/>
      <protection/>
    </xf>
    <xf numFmtId="220" fontId="34" fillId="0" borderId="132" xfId="50" applyNumberFormat="1" applyFont="1" applyFill="1" applyBorder="1" applyAlignment="1" applyProtection="1">
      <alignment vertical="center" shrinkToFit="1"/>
      <protection/>
    </xf>
    <xf numFmtId="220" fontId="15" fillId="0" borderId="115" xfId="50" applyNumberFormat="1" applyFont="1" applyFill="1" applyBorder="1" applyAlignment="1" applyProtection="1">
      <alignment vertical="center" shrinkToFit="1"/>
      <protection/>
    </xf>
    <xf numFmtId="220" fontId="34" fillId="0" borderId="133" xfId="50" applyNumberFormat="1" applyFont="1" applyFill="1" applyBorder="1" applyAlignment="1" applyProtection="1">
      <alignment vertical="center" shrinkToFit="1"/>
      <protection/>
    </xf>
    <xf numFmtId="220" fontId="34" fillId="0" borderId="44" xfId="50" applyNumberFormat="1" applyFont="1" applyFill="1" applyBorder="1" applyAlignment="1" applyProtection="1">
      <alignment vertical="center" shrinkToFit="1"/>
      <protection/>
    </xf>
    <xf numFmtId="220" fontId="34" fillId="0" borderId="27" xfId="50" applyNumberFormat="1" applyFont="1" applyFill="1" applyBorder="1" applyAlignment="1" applyProtection="1">
      <alignment vertical="center" shrinkToFit="1"/>
      <protection/>
    </xf>
    <xf numFmtId="220" fontId="34" fillId="0" borderId="134" xfId="50" applyNumberFormat="1" applyFont="1" applyFill="1" applyBorder="1" applyAlignment="1" applyProtection="1">
      <alignment vertical="center" shrinkToFit="1"/>
      <protection/>
    </xf>
    <xf numFmtId="220" fontId="34" fillId="0" borderId="135" xfId="50" applyNumberFormat="1" applyFont="1" applyFill="1" applyBorder="1" applyAlignment="1" applyProtection="1">
      <alignment vertical="center" shrinkToFit="1"/>
      <protection/>
    </xf>
    <xf numFmtId="220" fontId="34" fillId="0" borderId="129" xfId="50" applyNumberFormat="1" applyFont="1" applyFill="1" applyBorder="1" applyAlignment="1" applyProtection="1">
      <alignment vertical="center" shrinkToFit="1"/>
      <protection/>
    </xf>
    <xf numFmtId="220" fontId="15" fillId="0" borderId="33" xfId="50" applyNumberFormat="1" applyFont="1" applyFill="1" applyBorder="1" applyAlignment="1" applyProtection="1">
      <alignment vertical="center" shrinkToFit="1"/>
      <protection/>
    </xf>
    <xf numFmtId="220" fontId="15" fillId="0" borderId="34" xfId="50" applyNumberFormat="1" applyFont="1" applyFill="1" applyBorder="1" applyAlignment="1" applyProtection="1">
      <alignment vertical="center" shrinkToFit="1"/>
      <protection/>
    </xf>
    <xf numFmtId="220" fontId="15" fillId="0" borderId="136" xfId="50" applyNumberFormat="1" applyFont="1" applyFill="1" applyBorder="1" applyAlignment="1" applyProtection="1">
      <alignment vertical="center" shrinkToFit="1"/>
      <protection/>
    </xf>
    <xf numFmtId="220" fontId="15" fillId="0" borderId="89" xfId="50" applyNumberFormat="1" applyFont="1" applyFill="1" applyBorder="1" applyAlignment="1" applyProtection="1">
      <alignment vertical="center" shrinkToFit="1"/>
      <protection/>
    </xf>
    <xf numFmtId="220" fontId="15" fillId="0" borderId="137" xfId="50" applyNumberFormat="1" applyFont="1" applyFill="1" applyBorder="1" applyAlignment="1" applyProtection="1">
      <alignment vertical="center" shrinkToFit="1"/>
      <protection/>
    </xf>
    <xf numFmtId="220" fontId="15" fillId="0" borderId="10" xfId="50" applyNumberFormat="1" applyFont="1" applyFill="1" applyBorder="1" applyAlignment="1" applyProtection="1">
      <alignment vertical="center" shrinkToFit="1"/>
      <protection/>
    </xf>
    <xf numFmtId="3" fontId="34" fillId="0" borderId="102" xfId="0" applyNumberFormat="1" applyFont="1" applyFill="1" applyBorder="1" applyAlignment="1">
      <alignment horizontal="right" vertical="center" shrinkToFit="1"/>
    </xf>
    <xf numFmtId="0" fontId="14" fillId="0" borderId="113" xfId="0" applyFont="1" applyFill="1" applyBorder="1" applyAlignment="1">
      <alignment horizontal="distributed" vertical="center" shrinkToFit="1"/>
    </xf>
    <xf numFmtId="3" fontId="34" fillId="0" borderId="124" xfId="0" applyNumberFormat="1" applyFont="1" applyFill="1" applyBorder="1" applyAlignment="1">
      <alignment horizontal="right" vertical="center" shrinkToFit="1"/>
    </xf>
    <xf numFmtId="3" fontId="34" fillId="0" borderId="120" xfId="0" applyNumberFormat="1" applyFont="1" applyFill="1" applyBorder="1" applyAlignment="1">
      <alignment horizontal="right" vertical="center" shrinkToFit="1"/>
    </xf>
    <xf numFmtId="3" fontId="34" fillId="0" borderId="113" xfId="0" applyNumberFormat="1" applyFont="1" applyFill="1" applyBorder="1" applyAlignment="1">
      <alignment horizontal="right" vertical="center" shrinkToFit="1"/>
    </xf>
    <xf numFmtId="3" fontId="34" fillId="0" borderId="121" xfId="0" applyNumberFormat="1" applyFont="1" applyFill="1" applyBorder="1" applyAlignment="1">
      <alignment horizontal="right" vertical="center" shrinkToFit="1"/>
    </xf>
    <xf numFmtId="3" fontId="34" fillId="0" borderId="114" xfId="0" applyNumberFormat="1" applyFont="1" applyFill="1" applyBorder="1" applyAlignment="1">
      <alignment horizontal="right" vertical="center" shrinkToFit="1"/>
    </xf>
    <xf numFmtId="220" fontId="37" fillId="0" borderId="130" xfId="0" applyNumberFormat="1" applyFont="1" applyFill="1" applyBorder="1" applyAlignment="1">
      <alignment horizontal="right" vertical="center" shrinkToFit="1"/>
    </xf>
    <xf numFmtId="220" fontId="37" fillId="0" borderId="121" xfId="0" applyNumberFormat="1" applyFont="1" applyFill="1" applyBorder="1" applyAlignment="1">
      <alignment horizontal="right" vertical="center" shrinkToFit="1"/>
    </xf>
    <xf numFmtId="220" fontId="37" fillId="0" borderId="113" xfId="0" applyNumberFormat="1" applyFont="1" applyFill="1" applyBorder="1" applyAlignment="1">
      <alignment horizontal="right" vertical="center" shrinkToFit="1"/>
    </xf>
    <xf numFmtId="220" fontId="37" fillId="0" borderId="114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38" fontId="13" fillId="0" borderId="14" xfId="50" applyFont="1" applyFill="1" applyBorder="1" applyAlignment="1" applyProtection="1">
      <alignment horizontal="right" vertical="center" shrinkToFit="1"/>
      <protection locked="0"/>
    </xf>
    <xf numFmtId="38" fontId="82" fillId="0" borderId="14" xfId="50" applyFont="1" applyFill="1" applyBorder="1" applyAlignment="1" applyProtection="1">
      <alignment horizontal="right" vertical="center" shrinkToFit="1"/>
      <protection locked="0"/>
    </xf>
    <xf numFmtId="38" fontId="13" fillId="0" borderId="37" xfId="50" applyFont="1" applyFill="1" applyBorder="1" applyAlignment="1" applyProtection="1">
      <alignment horizontal="right" vertical="center" shrinkToFit="1"/>
      <protection locked="0"/>
    </xf>
    <xf numFmtId="38" fontId="13" fillId="0" borderId="113" xfId="50" applyFont="1" applyFill="1" applyBorder="1" applyAlignment="1" applyProtection="1">
      <alignment horizontal="right" vertical="center" shrinkToFit="1"/>
      <protection locked="0"/>
    </xf>
    <xf numFmtId="38" fontId="13" fillId="0" borderId="121" xfId="50" applyFont="1" applyFill="1" applyBorder="1" applyAlignment="1" applyProtection="1">
      <alignment horizontal="right" vertical="center" shrinkToFit="1"/>
      <protection/>
    </xf>
    <xf numFmtId="38" fontId="82" fillId="0" borderId="29" xfId="50" applyFont="1" applyFill="1" applyBorder="1" applyAlignment="1" applyProtection="1">
      <alignment horizontal="right" vertical="center" shrinkToFit="1"/>
      <protection locked="0"/>
    </xf>
    <xf numFmtId="38" fontId="82" fillId="0" borderId="37" xfId="50" applyFont="1" applyFill="1" applyBorder="1" applyAlignment="1" applyProtection="1">
      <alignment horizontal="right" vertical="center" shrinkToFit="1"/>
      <protection/>
    </xf>
    <xf numFmtId="38" fontId="82" fillId="0" borderId="37" xfId="50" applyFont="1" applyFill="1" applyBorder="1" applyAlignment="1" applyProtection="1">
      <alignment horizontal="right" vertical="center" shrinkToFit="1"/>
      <protection locked="0"/>
    </xf>
    <xf numFmtId="0" fontId="2" fillId="0" borderId="121" xfId="0" applyFont="1" applyFill="1" applyBorder="1" applyAlignment="1">
      <alignment horizontal="distributed" vertical="center"/>
    </xf>
    <xf numFmtId="220" fontId="56" fillId="0" borderId="121" xfId="0" applyNumberFormat="1" applyFont="1" applyFill="1" applyBorder="1" applyAlignment="1">
      <alignment horizontal="right" vertical="center" shrinkToFit="1"/>
    </xf>
    <xf numFmtId="220" fontId="56" fillId="0" borderId="121" xfId="0" applyNumberFormat="1" applyFont="1" applyFill="1" applyBorder="1" applyAlignment="1">
      <alignment vertical="center" shrinkToFit="1"/>
    </xf>
    <xf numFmtId="220" fontId="56" fillId="0" borderId="113" xfId="0" applyNumberFormat="1" applyFont="1" applyFill="1" applyBorder="1" applyAlignment="1">
      <alignment vertical="center" shrinkToFit="1"/>
    </xf>
    <xf numFmtId="220" fontId="56" fillId="0" borderId="114" xfId="0" applyNumberFormat="1" applyFont="1" applyFill="1" applyBorder="1" applyAlignment="1">
      <alignment vertical="center" shrinkToFit="1"/>
    </xf>
    <xf numFmtId="220" fontId="56" fillId="0" borderId="131" xfId="0" applyNumberFormat="1" applyFont="1" applyFill="1" applyBorder="1" applyAlignment="1">
      <alignment horizontal="right" vertical="center" shrinkToFit="1"/>
    </xf>
    <xf numFmtId="220" fontId="56" fillId="0" borderId="131" xfId="0" applyNumberFormat="1" applyFont="1" applyFill="1" applyBorder="1" applyAlignment="1">
      <alignment vertical="center" shrinkToFit="1"/>
    </xf>
    <xf numFmtId="3" fontId="84" fillId="0" borderId="30" xfId="50" applyNumberFormat="1" applyFont="1" applyFill="1" applyBorder="1" applyAlignment="1" applyProtection="1">
      <alignment vertical="center"/>
      <protection/>
    </xf>
    <xf numFmtId="3" fontId="84" fillId="0" borderId="14" xfId="50" applyNumberFormat="1" applyFont="1" applyFill="1" applyBorder="1" applyAlignment="1" applyProtection="1">
      <alignment vertical="center"/>
      <protection/>
    </xf>
    <xf numFmtId="3" fontId="15" fillId="0" borderId="14" xfId="50" applyNumberFormat="1" applyFont="1" applyFill="1" applyBorder="1" applyAlignment="1" applyProtection="1">
      <alignment vertical="center"/>
      <protection/>
    </xf>
    <xf numFmtId="3" fontId="15" fillId="0" borderId="37" xfId="50" applyNumberFormat="1" applyFont="1" applyFill="1" applyBorder="1" applyAlignment="1" applyProtection="1">
      <alignment vertical="center"/>
      <protection/>
    </xf>
    <xf numFmtId="3" fontId="15" fillId="0" borderId="120" xfId="50" applyNumberFormat="1" applyFont="1" applyFill="1" applyBorder="1" applyAlignment="1" applyProtection="1">
      <alignment vertical="center"/>
      <protection/>
    </xf>
    <xf numFmtId="3" fontId="15" fillId="0" borderId="113" xfId="50" applyNumberFormat="1" applyFont="1" applyFill="1" applyBorder="1" applyAlignment="1" applyProtection="1">
      <alignment vertical="center"/>
      <protection/>
    </xf>
    <xf numFmtId="3" fontId="15" fillId="0" borderId="114" xfId="50" applyNumberFormat="1" applyFont="1" applyFill="1" applyBorder="1" applyAlignment="1" applyProtection="1">
      <alignment vertical="center"/>
      <protection/>
    </xf>
    <xf numFmtId="3" fontId="84" fillId="0" borderId="37" xfId="50" applyNumberFormat="1" applyFont="1" applyFill="1" applyBorder="1" applyAlignment="1" applyProtection="1">
      <alignment vertical="center"/>
      <protection/>
    </xf>
    <xf numFmtId="3" fontId="15" fillId="0" borderId="120" xfId="70" applyNumberFormat="1" applyFont="1" applyFill="1" applyBorder="1" applyAlignment="1">
      <alignment vertical="center"/>
      <protection/>
    </xf>
    <xf numFmtId="3" fontId="15" fillId="0" borderId="113" xfId="70" applyNumberFormat="1" applyFont="1" applyFill="1" applyBorder="1" applyAlignment="1">
      <alignment vertical="center"/>
      <protection/>
    </xf>
    <xf numFmtId="38" fontId="82" fillId="0" borderId="29" xfId="50" applyFont="1" applyFill="1" applyBorder="1" applyAlignment="1" applyProtection="1">
      <alignment vertical="center"/>
      <protection/>
    </xf>
    <xf numFmtId="38" fontId="13" fillId="0" borderId="113" xfId="50" applyFont="1" applyFill="1" applyBorder="1" applyAlignment="1" applyProtection="1">
      <alignment horizontal="right" vertical="center"/>
      <protection/>
    </xf>
    <xf numFmtId="38" fontId="13" fillId="0" borderId="114" xfId="50" applyFont="1" applyFill="1" applyBorder="1" applyAlignment="1" applyProtection="1">
      <alignment horizontal="right" vertical="center"/>
      <protection/>
    </xf>
    <xf numFmtId="38" fontId="82" fillId="0" borderId="55" xfId="50" applyFont="1" applyFill="1" applyBorder="1" applyAlignment="1" applyProtection="1">
      <alignment vertical="center"/>
      <protection/>
    </xf>
    <xf numFmtId="220" fontId="13" fillId="0" borderId="138" xfId="50" applyNumberFormat="1" applyFont="1" applyFill="1" applyBorder="1" applyAlignment="1">
      <alignment vertical="center"/>
    </xf>
    <xf numFmtId="220" fontId="13" fillId="0" borderId="139" xfId="50" applyNumberFormat="1" applyFont="1" applyFill="1" applyBorder="1" applyAlignment="1">
      <alignment vertical="center"/>
    </xf>
    <xf numFmtId="220" fontId="13" fillId="0" borderId="55" xfId="50" applyNumberFormat="1" applyFont="1" applyFill="1" applyBorder="1" applyAlignment="1">
      <alignment vertical="center"/>
    </xf>
    <xf numFmtId="220" fontId="13" fillId="0" borderId="24" xfId="50" applyNumberFormat="1" applyFont="1" applyFill="1" applyBorder="1" applyAlignment="1">
      <alignment vertical="center"/>
    </xf>
    <xf numFmtId="0" fontId="82" fillId="0" borderId="59" xfId="0" applyFont="1" applyBorder="1" applyAlignment="1">
      <alignment horizontal="distributed" vertical="center"/>
    </xf>
    <xf numFmtId="3" fontId="13" fillId="0" borderId="123" xfId="0" applyNumberFormat="1" applyFont="1" applyFill="1" applyBorder="1" applyAlignment="1">
      <alignment horizontal="right" vertical="center"/>
    </xf>
    <xf numFmtId="0" fontId="15" fillId="0" borderId="140" xfId="0" applyFont="1" applyFill="1" applyBorder="1" applyAlignment="1">
      <alignment vertical="center" wrapText="1"/>
    </xf>
    <xf numFmtId="220" fontId="15" fillId="0" borderId="66" xfId="50" applyNumberFormat="1" applyFont="1" applyFill="1" applyBorder="1" applyAlignment="1">
      <alignment vertical="center"/>
    </xf>
    <xf numFmtId="220" fontId="15" fillId="0" borderId="21" xfId="50" applyNumberFormat="1" applyFont="1" applyFill="1" applyBorder="1" applyAlignment="1" applyProtection="1">
      <alignment horizontal="right" vertical="center" shrinkToFit="1"/>
      <protection locked="0"/>
    </xf>
    <xf numFmtId="220" fontId="15" fillId="0" borderId="35" xfId="50" applyNumberFormat="1" applyFont="1" applyFill="1" applyBorder="1" applyAlignment="1" applyProtection="1">
      <alignment horizontal="right" vertical="center"/>
      <protection locked="0"/>
    </xf>
    <xf numFmtId="220" fontId="15" fillId="0" borderId="58" xfId="50" applyNumberFormat="1" applyFont="1" applyFill="1" applyBorder="1" applyAlignment="1">
      <alignment vertical="center"/>
    </xf>
    <xf numFmtId="220" fontId="15" fillId="0" borderId="141" xfId="50" applyNumberFormat="1" applyFont="1" applyFill="1" applyBorder="1" applyAlignment="1">
      <alignment vertical="center"/>
    </xf>
    <xf numFmtId="0" fontId="15" fillId="0" borderId="34" xfId="0" applyFont="1" applyFill="1" applyBorder="1" applyAlignment="1">
      <alignment vertical="center" wrapText="1"/>
    </xf>
    <xf numFmtId="220" fontId="15" fillId="0" borderId="14" xfId="50" applyNumberFormat="1" applyFont="1" applyFill="1" applyBorder="1" applyAlignment="1">
      <alignment vertical="center"/>
    </xf>
    <xf numFmtId="220" fontId="15" fillId="0" borderId="37" xfId="50" applyNumberFormat="1" applyFont="1" applyFill="1" applyBorder="1" applyAlignment="1">
      <alignment vertical="center"/>
    </xf>
    <xf numFmtId="220" fontId="59" fillId="0" borderId="14" xfId="0" applyNumberFormat="1" applyFont="1" applyFill="1" applyBorder="1" applyAlignment="1">
      <alignment vertical="center"/>
    </xf>
    <xf numFmtId="220" fontId="98" fillId="0" borderId="44" xfId="0" applyNumberFormat="1" applyFont="1" applyFill="1" applyBorder="1" applyAlignment="1">
      <alignment vertical="center"/>
    </xf>
    <xf numFmtId="0" fontId="15" fillId="0" borderId="130" xfId="67" applyFont="1" applyFill="1" applyBorder="1" applyAlignment="1" applyProtection="1">
      <alignment vertical="center" wrapText="1"/>
      <protection locked="0"/>
    </xf>
    <xf numFmtId="220" fontId="15" fillId="0" borderId="113" xfId="50" applyNumberFormat="1" applyFont="1" applyFill="1" applyBorder="1" applyAlignment="1" applyProtection="1">
      <alignment horizontal="right" vertical="center"/>
      <protection locked="0"/>
    </xf>
    <xf numFmtId="220" fontId="15" fillId="0" borderId="113" xfId="50" applyNumberFormat="1" applyFont="1" applyFill="1" applyBorder="1" applyAlignment="1">
      <alignment horizontal="right" vertical="center"/>
    </xf>
    <xf numFmtId="220" fontId="15" fillId="0" borderId="120" xfId="50" applyNumberFormat="1" applyFont="1" applyFill="1" applyBorder="1" applyAlignment="1" applyProtection="1">
      <alignment horizontal="right" vertical="center" shrinkToFit="1"/>
      <protection locked="0"/>
    </xf>
    <xf numFmtId="220" fontId="15" fillId="0" borderId="142" xfId="5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0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2" fillId="0" borderId="11" xfId="0" applyFont="1" applyFill="1" applyBorder="1" applyAlignment="1">
      <alignment horizontal="left" vertical="top" wrapText="1"/>
    </xf>
    <xf numFmtId="38" fontId="13" fillId="0" borderId="21" xfId="50" applyFont="1" applyFill="1" applyBorder="1" applyAlignment="1" applyProtection="1">
      <alignment horizontal="distributed" vertical="center"/>
      <protection/>
    </xf>
    <xf numFmtId="38" fontId="13" fillId="0" borderId="113" xfId="50" applyFont="1" applyFill="1" applyBorder="1" applyAlignment="1" applyProtection="1">
      <alignment horizontal="distributed" vertical="center"/>
      <protection/>
    </xf>
    <xf numFmtId="38" fontId="13" fillId="0" borderId="14" xfId="50" applyFont="1" applyFill="1" applyBorder="1" applyAlignment="1" applyProtection="1">
      <alignment horizontal="center" vertical="center"/>
      <protection/>
    </xf>
    <xf numFmtId="38" fontId="14" fillId="0" borderId="32" xfId="50" applyFont="1" applyFill="1" applyBorder="1" applyAlignment="1" applyProtection="1">
      <alignment horizontal="center" vertical="center"/>
      <protection/>
    </xf>
    <xf numFmtId="38" fontId="15" fillId="0" borderId="32" xfId="50" applyFont="1" applyFill="1" applyBorder="1" applyAlignment="1" applyProtection="1">
      <alignment horizontal="center" vertical="center"/>
      <protection/>
    </xf>
    <xf numFmtId="38" fontId="13" fillId="0" borderId="32" xfId="50" applyFont="1" applyFill="1" applyBorder="1" applyAlignment="1" applyProtection="1">
      <alignment horizontal="distributed" vertical="center"/>
      <protection/>
    </xf>
    <xf numFmtId="38" fontId="13" fillId="0" borderId="87" xfId="50" applyFont="1" applyFill="1" applyBorder="1" applyAlignment="1" applyProtection="1">
      <alignment horizontal="center" vertical="center" textRotation="255" wrapText="1"/>
      <protection/>
    </xf>
    <xf numFmtId="38" fontId="13" fillId="0" borderId="47" xfId="50" applyFont="1" applyFill="1" applyBorder="1" applyAlignment="1" applyProtection="1">
      <alignment horizontal="center" vertical="center" textRotation="255" wrapText="1"/>
      <protection/>
    </xf>
    <xf numFmtId="38" fontId="13" fillId="0" borderId="59" xfId="50" applyFont="1" applyFill="1" applyBorder="1" applyAlignment="1" applyProtection="1">
      <alignment horizontal="center" vertical="center" textRotation="255" wrapText="1"/>
      <protection/>
    </xf>
    <xf numFmtId="0" fontId="13" fillId="0" borderId="47" xfId="0" applyFont="1" applyBorder="1" applyAlignment="1">
      <alignment horizontal="center" vertical="center" textRotation="255" wrapText="1"/>
    </xf>
    <xf numFmtId="0" fontId="13" fillId="0" borderId="59" xfId="0" applyFont="1" applyBorder="1" applyAlignment="1">
      <alignment horizontal="center" vertical="center" textRotation="255" wrapText="1"/>
    </xf>
    <xf numFmtId="38" fontId="15" fillId="0" borderId="66" xfId="50" applyFont="1" applyFill="1" applyBorder="1" applyAlignment="1" applyProtection="1">
      <alignment horizontal="center" vertical="center"/>
      <protection/>
    </xf>
    <xf numFmtId="38" fontId="15" fillId="0" borderId="32" xfId="50" applyFont="1" applyFill="1" applyBorder="1" applyAlignment="1" applyProtection="1">
      <alignment horizontal="center" vertical="center" shrinkToFit="1"/>
      <protection/>
    </xf>
    <xf numFmtId="38" fontId="13" fillId="0" borderId="143" xfId="50" applyFont="1" applyFill="1" applyBorder="1" applyAlignment="1" applyProtection="1">
      <alignment horizontal="left" vertical="center" wrapText="1"/>
      <protection/>
    </xf>
    <xf numFmtId="0" fontId="13" fillId="0" borderId="144" xfId="0" applyFont="1" applyBorder="1" applyAlignment="1">
      <alignment horizontal="left" vertical="center"/>
    </xf>
    <xf numFmtId="0" fontId="13" fillId="0" borderId="145" xfId="0" applyFont="1" applyBorder="1" applyAlignment="1">
      <alignment horizontal="left" vertical="center"/>
    </xf>
    <xf numFmtId="0" fontId="13" fillId="0" borderId="146" xfId="0" applyFont="1" applyBorder="1" applyAlignment="1">
      <alignment horizontal="left" vertical="center"/>
    </xf>
    <xf numFmtId="38" fontId="13" fillId="0" borderId="25" xfId="50" applyFont="1" applyFill="1" applyBorder="1" applyAlignment="1" applyProtection="1">
      <alignment horizontal="center" vertical="center"/>
      <protection/>
    </xf>
    <xf numFmtId="38" fontId="13" fillId="0" borderId="16" xfId="50" applyFont="1" applyFill="1" applyBorder="1" applyAlignment="1" applyProtection="1">
      <alignment horizontal="center" vertical="center"/>
      <protection/>
    </xf>
    <xf numFmtId="38" fontId="14" fillId="0" borderId="28" xfId="50" applyFont="1" applyFill="1" applyBorder="1" applyAlignment="1">
      <alignment horizontal="center" vertical="center" textRotation="255" wrapText="1"/>
    </xf>
    <xf numFmtId="38" fontId="14" fillId="0" borderId="41" xfId="50" applyFont="1" applyFill="1" applyBorder="1" applyAlignment="1">
      <alignment horizontal="center" vertical="center" textRotation="255" wrapText="1"/>
    </xf>
    <xf numFmtId="38" fontId="14" fillId="0" borderId="100" xfId="50" applyFont="1" applyFill="1" applyBorder="1" applyAlignment="1">
      <alignment horizontal="center" vertical="center" shrinkToFit="1"/>
    </xf>
    <xf numFmtId="38" fontId="14" fillId="0" borderId="21" xfId="50" applyFont="1" applyFill="1" applyBorder="1" applyAlignment="1">
      <alignment horizontal="center" vertical="center" shrinkToFit="1"/>
    </xf>
    <xf numFmtId="38" fontId="14" fillId="0" borderId="99" xfId="50" applyFont="1" applyFill="1" applyBorder="1" applyAlignment="1">
      <alignment horizontal="center" vertical="center" shrinkToFit="1"/>
    </xf>
    <xf numFmtId="38" fontId="14" fillId="0" borderId="128" xfId="50" applyFont="1" applyFill="1" applyBorder="1" applyAlignment="1">
      <alignment horizontal="center" vertical="center" wrapText="1"/>
    </xf>
    <xf numFmtId="38" fontId="14" fillId="0" borderId="32" xfId="50" applyFont="1" applyFill="1" applyBorder="1" applyAlignment="1">
      <alignment horizontal="center" vertical="center" wrapText="1"/>
    </xf>
    <xf numFmtId="38" fontId="14" fillId="0" borderId="147" xfId="50" applyFont="1" applyFill="1" applyBorder="1" applyAlignment="1">
      <alignment horizontal="center" vertical="center" wrapText="1"/>
    </xf>
    <xf numFmtId="38" fontId="14" fillId="0" borderId="148" xfId="50" applyFont="1" applyFill="1" applyBorder="1" applyAlignment="1">
      <alignment vertical="justify" wrapText="1"/>
    </xf>
    <xf numFmtId="38" fontId="14" fillId="0" borderId="149" xfId="50" applyFont="1" applyFill="1" applyBorder="1" applyAlignment="1">
      <alignment vertical="justify"/>
    </xf>
    <xf numFmtId="38" fontId="14" fillId="0" borderId="150" xfId="50" applyFont="1" applyFill="1" applyBorder="1" applyAlignment="1">
      <alignment vertical="justify"/>
    </xf>
    <xf numFmtId="38" fontId="14" fillId="0" borderId="151" xfId="50" applyFont="1" applyFill="1" applyBorder="1" applyAlignment="1">
      <alignment vertical="justify" wrapText="1"/>
    </xf>
    <xf numFmtId="38" fontId="14" fillId="0" borderId="152" xfId="50" applyFont="1" applyFill="1" applyBorder="1" applyAlignment="1">
      <alignment vertical="justify"/>
    </xf>
    <xf numFmtId="38" fontId="14" fillId="0" borderId="153" xfId="50" applyFont="1" applyFill="1" applyBorder="1" applyAlignment="1">
      <alignment vertical="justify"/>
    </xf>
    <xf numFmtId="0" fontId="13" fillId="0" borderId="154" xfId="0" applyFont="1" applyFill="1" applyBorder="1" applyAlignment="1">
      <alignment vertical="justify"/>
    </xf>
    <xf numFmtId="0" fontId="13" fillId="0" borderId="155" xfId="0" applyFont="1" applyFill="1" applyBorder="1" applyAlignment="1">
      <alignment vertical="justify"/>
    </xf>
    <xf numFmtId="0" fontId="13" fillId="0" borderId="156" xfId="0" applyFont="1" applyFill="1" applyBorder="1" applyAlignment="1">
      <alignment vertical="justify"/>
    </xf>
    <xf numFmtId="38" fontId="14" fillId="0" borderId="38" xfId="50" applyFont="1" applyFill="1" applyBorder="1" applyAlignment="1">
      <alignment horizontal="center" vertical="center" textRotation="255" wrapText="1"/>
    </xf>
    <xf numFmtId="38" fontId="14" fillId="0" borderId="29" xfId="50" applyFont="1" applyFill="1" applyBorder="1" applyAlignment="1">
      <alignment horizontal="center" vertical="center" textRotation="255" wrapText="1"/>
    </xf>
    <xf numFmtId="38" fontId="14" fillId="0" borderId="14" xfId="50" applyFont="1" applyFill="1" applyBorder="1" applyAlignment="1">
      <alignment horizontal="center" vertical="center" textRotation="255" wrapText="1"/>
    </xf>
    <xf numFmtId="38" fontId="14" fillId="0" borderId="22" xfId="50" applyFont="1" applyFill="1" applyBorder="1" applyAlignment="1">
      <alignment horizontal="center" vertical="center" textRotation="255" wrapText="1"/>
    </xf>
    <xf numFmtId="38" fontId="14" fillId="0" borderId="157" xfId="50" applyFont="1" applyFill="1" applyBorder="1" applyAlignment="1">
      <alignment horizontal="center" vertical="center"/>
    </xf>
    <xf numFmtId="38" fontId="14" fillId="0" borderId="57" xfId="50" applyFont="1" applyFill="1" applyBorder="1" applyAlignment="1">
      <alignment horizontal="center" vertical="center"/>
    </xf>
    <xf numFmtId="0" fontId="14" fillId="0" borderId="141" xfId="0" applyFont="1" applyFill="1" applyBorder="1" applyAlignment="1">
      <alignment horizontal="center" vertical="center"/>
    </xf>
    <xf numFmtId="38" fontId="14" fillId="0" borderId="158" xfId="5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38" fontId="15" fillId="0" borderId="23" xfId="50" applyFont="1" applyFill="1" applyBorder="1" applyAlignment="1" applyProtection="1">
      <alignment horizontal="distributed" vertical="center"/>
      <protection/>
    </xf>
    <xf numFmtId="38" fontId="15" fillId="0" borderId="70" xfId="50" applyFont="1" applyFill="1" applyBorder="1" applyAlignment="1" applyProtection="1">
      <alignment horizontal="distributed" vertical="center"/>
      <protection/>
    </xf>
    <xf numFmtId="0" fontId="13" fillId="0" borderId="121" xfId="0" applyFont="1" applyFill="1" applyBorder="1" applyAlignment="1">
      <alignment horizontal="distributed" vertical="center"/>
    </xf>
    <xf numFmtId="0" fontId="13" fillId="0" borderId="120" xfId="0" applyFont="1" applyFill="1" applyBorder="1" applyAlignment="1">
      <alignment horizontal="distributed" vertical="center"/>
    </xf>
    <xf numFmtId="38" fontId="15" fillId="0" borderId="52" xfId="50" applyFont="1" applyFill="1" applyBorder="1" applyAlignment="1" applyProtection="1">
      <alignment horizontal="distributed" vertical="center"/>
      <protection/>
    </xf>
    <xf numFmtId="38" fontId="15" fillId="0" borderId="84" xfId="5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13" fillId="0" borderId="76" xfId="0" applyFont="1" applyFill="1" applyBorder="1" applyAlignment="1">
      <alignment horizontal="distributed" vertical="center"/>
    </xf>
    <xf numFmtId="38" fontId="15" fillId="0" borderId="33" xfId="50" applyFont="1" applyFill="1" applyBorder="1" applyAlignment="1" applyProtection="1">
      <alignment horizontal="center" vertical="center"/>
      <protection/>
    </xf>
    <xf numFmtId="38" fontId="15" fillId="0" borderId="11" xfId="50" applyFont="1" applyFill="1" applyBorder="1" applyAlignment="1" applyProtection="1">
      <alignment horizontal="center" vertical="center"/>
      <protection/>
    </xf>
    <xf numFmtId="38" fontId="15" fillId="0" borderId="53" xfId="5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38" fontId="15" fillId="0" borderId="51" xfId="50" applyFont="1" applyFill="1" applyBorder="1" applyAlignment="1" applyProtection="1">
      <alignment horizontal="distributed" vertical="center"/>
      <protection/>
    </xf>
    <xf numFmtId="38" fontId="15" fillId="0" borderId="58" xfId="50" applyFont="1" applyFill="1" applyBorder="1" applyAlignment="1" applyProtection="1">
      <alignment horizontal="distributed" vertical="center"/>
      <protection/>
    </xf>
    <xf numFmtId="0" fontId="13" fillId="0" borderId="23" xfId="0" applyFont="1" applyFill="1" applyBorder="1" applyAlignment="1">
      <alignment horizontal="distributed" vertical="center"/>
    </xf>
    <xf numFmtId="0" fontId="13" fillId="0" borderId="70" xfId="0" applyFont="1" applyFill="1" applyBorder="1" applyAlignment="1">
      <alignment horizontal="distributed" vertical="center"/>
    </xf>
    <xf numFmtId="38" fontId="15" fillId="0" borderId="159" xfId="50" applyFont="1" applyFill="1" applyBorder="1" applyAlignment="1" applyProtection="1">
      <alignment horizontal="center" vertical="center" textRotation="255" wrapText="1"/>
      <protection/>
    </xf>
    <xf numFmtId="38" fontId="15" fillId="0" borderId="65" xfId="50" applyFont="1" applyFill="1" applyBorder="1" applyAlignment="1" applyProtection="1">
      <alignment horizontal="center" vertical="center" textRotation="255" wrapText="1"/>
      <protection/>
    </xf>
    <xf numFmtId="38" fontId="15" fillId="0" borderId="102" xfId="50" applyFont="1" applyFill="1" applyBorder="1" applyAlignment="1" applyProtection="1">
      <alignment horizontal="center" vertical="center" textRotation="255" wrapText="1"/>
      <protection/>
    </xf>
    <xf numFmtId="38" fontId="84" fillId="0" borderId="65" xfId="50" applyFont="1" applyFill="1" applyBorder="1" applyAlignment="1" applyProtection="1">
      <alignment horizontal="center" vertical="center" textRotation="255" wrapText="1"/>
      <protection/>
    </xf>
    <xf numFmtId="0" fontId="13" fillId="0" borderId="65" xfId="0" applyFont="1" applyFill="1" applyBorder="1" applyAlignment="1">
      <alignment horizontal="center" vertical="center" textRotation="255" wrapText="1"/>
    </xf>
    <xf numFmtId="0" fontId="13" fillId="0" borderId="102" xfId="0" applyFont="1" applyFill="1" applyBorder="1" applyAlignment="1">
      <alignment horizontal="center" vertical="center" textRotation="255" wrapText="1"/>
    </xf>
    <xf numFmtId="0" fontId="13" fillId="0" borderId="148" xfId="0" applyFont="1" applyFill="1" applyBorder="1" applyAlignment="1">
      <alignment vertical="center" wrapText="1"/>
    </xf>
    <xf numFmtId="0" fontId="13" fillId="0" borderId="149" xfId="0" applyFont="1" applyFill="1" applyBorder="1" applyAlignment="1">
      <alignment vertical="center" wrapText="1"/>
    </xf>
    <xf numFmtId="0" fontId="13" fillId="0" borderId="150" xfId="0" applyFont="1" applyFill="1" applyBorder="1" applyAlignment="1">
      <alignment vertical="center" wrapText="1"/>
    </xf>
    <xf numFmtId="0" fontId="13" fillId="0" borderId="154" xfId="0" applyFont="1" applyFill="1" applyBorder="1" applyAlignment="1">
      <alignment vertical="center" wrapText="1"/>
    </xf>
    <xf numFmtId="0" fontId="13" fillId="0" borderId="155" xfId="0" applyFont="1" applyFill="1" applyBorder="1" applyAlignment="1">
      <alignment vertical="center" wrapText="1"/>
    </xf>
    <xf numFmtId="0" fontId="13" fillId="0" borderId="156" xfId="0" applyFont="1" applyFill="1" applyBorder="1" applyAlignment="1">
      <alignment vertical="center" wrapText="1"/>
    </xf>
    <xf numFmtId="38" fontId="15" fillId="0" borderId="49" xfId="50" applyFont="1" applyFill="1" applyBorder="1" applyAlignment="1" applyProtection="1">
      <alignment horizontal="center" vertical="center"/>
      <protection/>
    </xf>
    <xf numFmtId="38" fontId="15" fillId="0" borderId="37" xfId="50" applyFont="1" applyFill="1" applyBorder="1" applyAlignment="1" applyProtection="1">
      <alignment horizontal="center" vertical="center"/>
      <protection/>
    </xf>
    <xf numFmtId="38" fontId="15" fillId="0" borderId="51" xfId="50" applyFont="1" applyFill="1" applyBorder="1" applyAlignment="1" applyProtection="1">
      <alignment horizontal="center" vertical="center"/>
      <protection/>
    </xf>
    <xf numFmtId="38" fontId="15" fillId="0" borderId="57" xfId="50" applyFont="1" applyFill="1" applyBorder="1" applyAlignment="1" applyProtection="1">
      <alignment horizontal="center" vertical="center"/>
      <protection/>
    </xf>
    <xf numFmtId="38" fontId="15" fillId="0" borderId="58" xfId="50" applyFont="1" applyFill="1" applyBorder="1" applyAlignment="1" applyProtection="1">
      <alignment horizontal="center" vertical="center"/>
      <protection/>
    </xf>
    <xf numFmtId="38" fontId="13" fillId="0" borderId="51" xfId="50" applyFont="1" applyFill="1" applyBorder="1" applyAlignment="1" applyProtection="1">
      <alignment horizontal="distributed" vertical="center"/>
      <protection/>
    </xf>
    <xf numFmtId="38" fontId="13" fillId="0" borderId="58" xfId="50" applyFont="1" applyFill="1" applyBorder="1" applyAlignment="1" applyProtection="1">
      <alignment horizontal="distributed" vertical="center"/>
      <protection/>
    </xf>
    <xf numFmtId="38" fontId="13" fillId="0" borderId="23" xfId="50" applyFont="1" applyFill="1" applyBorder="1" applyAlignment="1" applyProtection="1">
      <alignment horizontal="distributed" vertical="center"/>
      <protection/>
    </xf>
    <xf numFmtId="38" fontId="13" fillId="0" borderId="70" xfId="50" applyFont="1" applyFill="1" applyBorder="1" applyAlignment="1" applyProtection="1">
      <alignment horizontal="distributed" vertical="center"/>
      <protection/>
    </xf>
    <xf numFmtId="38" fontId="15" fillId="0" borderId="53" xfId="50" applyFont="1" applyFill="1" applyBorder="1" applyAlignment="1" applyProtection="1">
      <alignment horizontal="center" vertical="center" wrapText="1"/>
      <protection/>
    </xf>
    <xf numFmtId="38" fontId="15" fillId="0" borderId="30" xfId="50" applyFont="1" applyFill="1" applyBorder="1" applyAlignment="1" applyProtection="1">
      <alignment horizontal="center" vertical="center"/>
      <protection/>
    </xf>
    <xf numFmtId="38" fontId="15" fillId="0" borderId="159" xfId="50" applyFont="1" applyFill="1" applyBorder="1" applyAlignment="1" applyProtection="1">
      <alignment horizontal="center" vertical="center"/>
      <protection/>
    </xf>
    <xf numFmtId="38" fontId="15" fillId="0" borderId="102" xfId="50" applyFont="1" applyFill="1" applyBorder="1" applyAlignment="1" applyProtection="1">
      <alignment horizontal="center" vertical="center"/>
      <protection/>
    </xf>
    <xf numFmtId="38" fontId="14" fillId="0" borderId="56" xfId="50" applyFont="1" applyFill="1" applyBorder="1" applyAlignment="1" applyProtection="1">
      <alignment horizontal="center" vertical="center" wrapText="1"/>
      <protection/>
    </xf>
    <xf numFmtId="38" fontId="14" fillId="0" borderId="14" xfId="50" applyFont="1" applyFill="1" applyBorder="1" applyAlignment="1" applyProtection="1">
      <alignment horizontal="center" vertical="center"/>
      <protection/>
    </xf>
    <xf numFmtId="38" fontId="13" fillId="0" borderId="88" xfId="50" applyFont="1" applyFill="1" applyBorder="1" applyAlignment="1" applyProtection="1">
      <alignment horizontal="center" vertical="center"/>
      <protection/>
    </xf>
    <xf numFmtId="38" fontId="13" fillId="0" borderId="91" xfId="50" applyFont="1" applyFill="1" applyBorder="1" applyAlignment="1" applyProtection="1">
      <alignment horizontal="center" vertical="center"/>
      <protection/>
    </xf>
    <xf numFmtId="38" fontId="13" fillId="0" borderId="54" xfId="50" applyFont="1" applyFill="1" applyBorder="1" applyAlignment="1" applyProtection="1">
      <alignment horizontal="center" vertical="center"/>
      <protection/>
    </xf>
    <xf numFmtId="38" fontId="15" fillId="0" borderId="38" xfId="50" applyFont="1" applyFill="1" applyBorder="1" applyAlignment="1" applyProtection="1">
      <alignment horizontal="center" vertical="center" wrapText="1"/>
      <protection/>
    </xf>
    <xf numFmtId="38" fontId="15" fillId="0" borderId="11" xfId="50" applyFont="1" applyFill="1" applyBorder="1" applyAlignment="1" applyProtection="1">
      <alignment horizontal="center" vertical="center" wrapText="1"/>
      <protection/>
    </xf>
    <xf numFmtId="178" fontId="15" fillId="0" borderId="12" xfId="50" applyNumberFormat="1" applyFont="1" applyFill="1" applyBorder="1" applyAlignment="1" applyProtection="1">
      <alignment horizontal="center" vertical="center"/>
      <protection/>
    </xf>
    <xf numFmtId="178" fontId="15" fillId="0" borderId="18" xfId="50" applyNumberFormat="1" applyFont="1" applyFill="1" applyBorder="1" applyAlignment="1" applyProtection="1">
      <alignment horizontal="center" vertical="center"/>
      <protection/>
    </xf>
    <xf numFmtId="38" fontId="13" fillId="0" borderId="52" xfId="50" applyFont="1" applyFill="1" applyBorder="1" applyAlignment="1" applyProtection="1">
      <alignment horizontal="distributed" vertical="center"/>
      <protection/>
    </xf>
    <xf numFmtId="38" fontId="13" fillId="0" borderId="84" xfId="50" applyFont="1" applyFill="1" applyBorder="1" applyAlignment="1" applyProtection="1">
      <alignment horizontal="distributed" vertical="center"/>
      <protection/>
    </xf>
    <xf numFmtId="0" fontId="0" fillId="0" borderId="70" xfId="0" applyFont="1" applyFill="1" applyBorder="1" applyAlignment="1">
      <alignment/>
    </xf>
    <xf numFmtId="38" fontId="13" fillId="0" borderId="121" xfId="50" applyFont="1" applyFill="1" applyBorder="1" applyAlignment="1" applyProtection="1">
      <alignment horizontal="distributed" vertical="center"/>
      <protection/>
    </xf>
    <xf numFmtId="38" fontId="13" fillId="0" borderId="120" xfId="50" applyFont="1" applyFill="1" applyBorder="1" applyAlignment="1" applyProtection="1">
      <alignment horizontal="distributed" vertical="center"/>
      <protection/>
    </xf>
    <xf numFmtId="38" fontId="13" fillId="0" borderId="41" xfId="50" applyFont="1" applyFill="1" applyBorder="1" applyAlignment="1" applyProtection="1">
      <alignment horizontal="center" vertical="center"/>
      <protection/>
    </xf>
    <xf numFmtId="38" fontId="13" fillId="0" borderId="30" xfId="50" applyFont="1" applyFill="1" applyBorder="1" applyAlignment="1" applyProtection="1">
      <alignment horizontal="center" vertical="center"/>
      <protection/>
    </xf>
    <xf numFmtId="38" fontId="13" fillId="0" borderId="159" xfId="50" applyFont="1" applyFill="1" applyBorder="1" applyAlignment="1" applyProtection="1">
      <alignment horizontal="center" vertical="center" textRotation="255" wrapText="1"/>
      <protection/>
    </xf>
    <xf numFmtId="0" fontId="82" fillId="0" borderId="65" xfId="0" applyFont="1" applyFill="1" applyBorder="1" applyAlignment="1">
      <alignment horizontal="center" vertical="center" textRotation="255" wrapText="1"/>
    </xf>
    <xf numFmtId="38" fontId="13" fillId="0" borderId="65" xfId="50" applyFont="1" applyFill="1" applyBorder="1" applyAlignment="1" applyProtection="1">
      <alignment horizontal="center" vertical="center" textRotation="255" wrapText="1"/>
      <protection/>
    </xf>
    <xf numFmtId="38" fontId="13" fillId="0" borderId="102" xfId="50" applyFont="1" applyFill="1" applyBorder="1" applyAlignment="1" applyProtection="1">
      <alignment horizontal="center" vertical="center" textRotation="255" wrapText="1"/>
      <protection/>
    </xf>
    <xf numFmtId="0" fontId="7" fillId="0" borderId="29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top" wrapText="1"/>
    </xf>
    <xf numFmtId="0" fontId="33" fillId="0" borderId="29" xfId="0" applyFont="1" applyFill="1" applyBorder="1" applyAlignment="1">
      <alignment horizontal="center" vertical="top" wrapText="1"/>
    </xf>
    <xf numFmtId="0" fontId="33" fillId="0" borderId="69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left" vertical="top" wrapText="1"/>
    </xf>
    <xf numFmtId="0" fontId="33" fillId="0" borderId="29" xfId="0" applyFont="1" applyFill="1" applyBorder="1" applyAlignment="1">
      <alignment horizontal="left" vertical="top" wrapText="1"/>
    </xf>
    <xf numFmtId="0" fontId="7" fillId="0" borderId="56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quotePrefix="1">
      <alignment horizontal="center" vertical="top" wrapText="1"/>
    </xf>
    <xf numFmtId="3" fontId="7" fillId="0" borderId="45" xfId="0" applyNumberFormat="1" applyFont="1" applyFill="1" applyBorder="1" applyAlignment="1" quotePrefix="1">
      <alignment horizontal="center" vertical="top" wrapText="1"/>
    </xf>
    <xf numFmtId="0" fontId="86" fillId="0" borderId="31" xfId="0" applyFont="1" applyFill="1" applyBorder="1" applyAlignment="1">
      <alignment horizontal="left" vertical="center"/>
    </xf>
    <xf numFmtId="0" fontId="90" fillId="0" borderId="148" xfId="0" applyFont="1" applyFill="1" applyBorder="1" applyAlignment="1">
      <alignment vertical="top" wrapText="1"/>
    </xf>
    <xf numFmtId="0" fontId="90" fillId="0" borderId="150" xfId="0" applyFont="1" applyFill="1" applyBorder="1" applyAlignment="1">
      <alignment vertical="top" wrapText="1"/>
    </xf>
    <xf numFmtId="0" fontId="90" fillId="0" borderId="154" xfId="0" applyFont="1" applyFill="1" applyBorder="1" applyAlignment="1">
      <alignment vertical="top" wrapText="1"/>
    </xf>
    <xf numFmtId="0" fontId="90" fillId="0" borderId="156" xfId="0" applyFont="1" applyFill="1" applyBorder="1" applyAlignment="1">
      <alignment vertical="top" wrapText="1"/>
    </xf>
    <xf numFmtId="0" fontId="84" fillId="0" borderId="51" xfId="0" applyFont="1" applyFill="1" applyBorder="1" applyAlignment="1">
      <alignment horizontal="center" vertical="center" wrapText="1"/>
    </xf>
    <xf numFmtId="0" fontId="84" fillId="0" borderId="57" xfId="0" applyFont="1" applyFill="1" applyBorder="1" applyAlignment="1">
      <alignment horizontal="center" vertical="center" wrapText="1"/>
    </xf>
    <xf numFmtId="0" fontId="84" fillId="0" borderId="58" xfId="0" applyFont="1" applyFill="1" applyBorder="1" applyAlignment="1">
      <alignment horizontal="center" vertical="center" wrapText="1"/>
    </xf>
    <xf numFmtId="0" fontId="84" fillId="0" borderId="51" xfId="0" applyFont="1" applyFill="1" applyBorder="1" applyAlignment="1">
      <alignment horizontal="center" vertical="center" shrinkToFit="1"/>
    </xf>
    <xf numFmtId="0" fontId="84" fillId="0" borderId="57" xfId="0" applyFont="1" applyFill="1" applyBorder="1" applyAlignment="1">
      <alignment horizontal="center" vertical="center" shrinkToFit="1"/>
    </xf>
    <xf numFmtId="0" fontId="84" fillId="0" borderId="58" xfId="0" applyFont="1" applyFill="1" applyBorder="1" applyAlignment="1">
      <alignment horizontal="center" vertical="center" shrinkToFit="1"/>
    </xf>
    <xf numFmtId="0" fontId="84" fillId="0" borderId="160" xfId="0" applyFont="1" applyFill="1" applyBorder="1" applyAlignment="1">
      <alignment horizontal="center" vertical="center" shrinkToFit="1"/>
    </xf>
    <xf numFmtId="0" fontId="84" fillId="0" borderId="159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102" xfId="0" applyFont="1" applyFill="1" applyBorder="1" applyAlignment="1">
      <alignment horizontal="center" vertical="center" wrapText="1"/>
    </xf>
    <xf numFmtId="179" fontId="7" fillId="0" borderId="22" xfId="0" applyNumberFormat="1" applyFont="1" applyFill="1" applyBorder="1" applyAlignment="1">
      <alignment horizontal="center" vertical="center"/>
    </xf>
    <xf numFmtId="179" fontId="7" fillId="0" borderId="29" xfId="0" applyNumberFormat="1" applyFont="1" applyFill="1" applyBorder="1" applyAlignment="1">
      <alignment horizontal="center" vertical="center"/>
    </xf>
    <xf numFmtId="179" fontId="7" fillId="0" borderId="69" xfId="0" applyNumberFormat="1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distributed" vertical="center" textRotation="255"/>
    </xf>
    <xf numFmtId="0" fontId="34" fillId="0" borderId="26" xfId="0" applyFont="1" applyFill="1" applyBorder="1" applyAlignment="1">
      <alignment horizontal="distributed" vertical="center" textRotation="255"/>
    </xf>
    <xf numFmtId="0" fontId="34" fillId="0" borderId="84" xfId="0" applyFont="1" applyFill="1" applyBorder="1" applyAlignment="1">
      <alignment horizontal="distributed" vertical="center" textRotation="255"/>
    </xf>
    <xf numFmtId="0" fontId="34" fillId="0" borderId="56" xfId="0" applyFont="1" applyFill="1" applyBorder="1" applyAlignment="1">
      <alignment horizontal="distributed" vertical="center" textRotation="255"/>
    </xf>
    <xf numFmtId="0" fontId="34" fillId="0" borderId="29" xfId="0" applyFont="1" applyFill="1" applyBorder="1" applyAlignment="1">
      <alignment horizontal="distributed" vertical="center" textRotation="255"/>
    </xf>
    <xf numFmtId="0" fontId="34" fillId="0" borderId="69" xfId="0" applyFont="1" applyFill="1" applyBorder="1" applyAlignment="1">
      <alignment horizontal="distributed" vertical="center" textRotation="255"/>
    </xf>
    <xf numFmtId="0" fontId="34" fillId="0" borderId="38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34" fillId="0" borderId="53" xfId="0" applyFont="1" applyFill="1" applyBorder="1" applyAlignment="1">
      <alignment vertical="center" wrapText="1"/>
    </xf>
    <xf numFmtId="0" fontId="34" fillId="0" borderId="45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26" xfId="0" applyFont="1" applyFill="1" applyBorder="1" applyAlignment="1">
      <alignment vertical="center" wrapText="1"/>
    </xf>
    <xf numFmtId="0" fontId="34" fillId="0" borderId="52" xfId="0" applyFont="1" applyFill="1" applyBorder="1" applyAlignment="1">
      <alignment vertical="center" wrapText="1"/>
    </xf>
    <xf numFmtId="0" fontId="34" fillId="0" borderId="83" xfId="0" applyFont="1" applyFill="1" applyBorder="1" applyAlignment="1">
      <alignment vertical="center" wrapText="1"/>
    </xf>
    <xf numFmtId="0" fontId="34" fillId="0" borderId="84" xfId="0" applyFont="1" applyFill="1" applyBorder="1" applyAlignment="1">
      <alignment vertical="center" wrapText="1"/>
    </xf>
    <xf numFmtId="0" fontId="33" fillId="0" borderId="56" xfId="0" applyFont="1" applyFill="1" applyBorder="1" applyAlignment="1">
      <alignment horizontal="left" vertical="top" wrapText="1"/>
    </xf>
    <xf numFmtId="0" fontId="33" fillId="0" borderId="56" xfId="0" applyFont="1" applyFill="1" applyBorder="1" applyAlignment="1">
      <alignment horizontal="center" vertical="top" wrapText="1"/>
    </xf>
    <xf numFmtId="0" fontId="34" fillId="0" borderId="30" xfId="0" applyFont="1" applyFill="1" applyBorder="1" applyAlignment="1">
      <alignment horizontal="distributed" vertical="center" textRotation="255"/>
    </xf>
    <xf numFmtId="0" fontId="7" fillId="0" borderId="22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84" fillId="0" borderId="157" xfId="0" applyFont="1" applyFill="1" applyBorder="1" applyAlignment="1">
      <alignment horizontal="center" vertical="center" shrinkToFit="1"/>
    </xf>
    <xf numFmtId="0" fontId="84" fillId="0" borderId="141" xfId="0" applyFont="1" applyFill="1" applyBorder="1" applyAlignment="1">
      <alignment horizontal="center" vertical="center" shrinkToFit="1"/>
    </xf>
    <xf numFmtId="38" fontId="7" fillId="0" borderId="56" xfId="50" applyFont="1" applyFill="1" applyBorder="1" applyAlignment="1">
      <alignment horizontal="center" vertical="center" wrapText="1"/>
    </xf>
    <xf numFmtId="38" fontId="7" fillId="0" borderId="29" xfId="50" applyFont="1" applyFill="1" applyBorder="1" applyAlignment="1">
      <alignment horizontal="center" vertical="center" wrapText="1"/>
    </xf>
    <xf numFmtId="38" fontId="7" fillId="0" borderId="69" xfId="5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left" vertical="top" wrapText="1"/>
    </xf>
    <xf numFmtId="179" fontId="33" fillId="0" borderId="40" xfId="0" applyNumberFormat="1" applyFont="1" applyFill="1" applyBorder="1" applyAlignment="1">
      <alignment horizontal="center" vertical="top" wrapText="1"/>
    </xf>
    <xf numFmtId="179" fontId="33" fillId="0" borderId="86" xfId="0" applyNumberFormat="1" applyFont="1" applyFill="1" applyBorder="1" applyAlignment="1">
      <alignment horizontal="center" vertical="top" wrapText="1"/>
    </xf>
    <xf numFmtId="179" fontId="33" fillId="0" borderId="81" xfId="0" applyNumberFormat="1" applyFont="1" applyFill="1" applyBorder="1" applyAlignment="1">
      <alignment horizontal="center" vertical="top" wrapText="1"/>
    </xf>
    <xf numFmtId="3" fontId="7" fillId="0" borderId="49" xfId="0" applyNumberFormat="1" applyFont="1" applyFill="1" applyBorder="1" applyAlignment="1">
      <alignment horizontal="center" vertical="center"/>
    </xf>
    <xf numFmtId="3" fontId="7" fillId="0" borderId="55" xfId="0" applyNumberFormat="1" applyFont="1" applyFill="1" applyBorder="1" applyAlignment="1">
      <alignment horizontal="center" vertical="center"/>
    </xf>
    <xf numFmtId="3" fontId="7" fillId="0" borderId="68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103" xfId="0" applyFont="1" applyFill="1" applyBorder="1" applyAlignment="1">
      <alignment horizontal="center" vertical="center" shrinkToFit="1"/>
    </xf>
    <xf numFmtId="0" fontId="7" fillId="0" borderId="161" xfId="0" applyFont="1" applyFill="1" applyBorder="1" applyAlignment="1">
      <alignment horizontal="center" vertical="center" shrinkToFit="1"/>
    </xf>
    <xf numFmtId="179" fontId="7" fillId="0" borderId="101" xfId="0" applyNumberFormat="1" applyFont="1" applyFill="1" applyBorder="1" applyAlignment="1">
      <alignment horizontal="center" vertical="center" shrinkToFit="1"/>
    </xf>
    <xf numFmtId="179" fontId="7" fillId="0" borderId="103" xfId="0" applyNumberFormat="1" applyFont="1" applyFill="1" applyBorder="1" applyAlignment="1">
      <alignment horizontal="center" vertical="center" shrinkToFit="1"/>
    </xf>
    <xf numFmtId="179" fontId="7" fillId="0" borderId="161" xfId="0" applyNumberFormat="1" applyFont="1" applyFill="1" applyBorder="1" applyAlignment="1">
      <alignment horizontal="center" vertical="center" shrinkToFit="1"/>
    </xf>
    <xf numFmtId="180" fontId="7" fillId="0" borderId="55" xfId="0" applyNumberFormat="1" applyFont="1" applyFill="1" applyBorder="1" applyAlignment="1">
      <alignment horizontal="center" vertical="center"/>
    </xf>
    <xf numFmtId="180" fontId="7" fillId="0" borderId="29" xfId="0" applyNumberFormat="1" applyFont="1" applyFill="1" applyBorder="1" applyAlignment="1">
      <alignment horizontal="center" vertical="center"/>
    </xf>
    <xf numFmtId="179" fontId="7" fillId="0" borderId="46" xfId="0" applyNumberFormat="1" applyFont="1" applyFill="1" applyBorder="1" applyAlignment="1">
      <alignment horizontal="center" vertical="center"/>
    </xf>
    <xf numFmtId="179" fontId="7" fillId="0" borderId="55" xfId="0" applyNumberFormat="1" applyFont="1" applyFill="1" applyBorder="1" applyAlignment="1">
      <alignment horizontal="center" vertical="center"/>
    </xf>
    <xf numFmtId="179" fontId="7" fillId="0" borderId="68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distributed" vertical="center" textRotation="255"/>
    </xf>
    <xf numFmtId="0" fontId="33" fillId="0" borderId="28" xfId="0" applyFont="1" applyFill="1" applyBorder="1" applyAlignment="1">
      <alignment vertical="center" wrapText="1"/>
    </xf>
    <xf numFmtId="0" fontId="33" fillId="0" borderId="82" xfId="0" applyFont="1" applyFill="1" applyBorder="1" applyAlignment="1">
      <alignment vertical="center" wrapText="1"/>
    </xf>
    <xf numFmtId="0" fontId="33" fillId="0" borderId="76" xfId="0" applyFont="1" applyFill="1" applyBorder="1" applyAlignment="1">
      <alignment vertical="center" wrapText="1"/>
    </xf>
    <xf numFmtId="0" fontId="33" fillId="0" borderId="45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0" fontId="33" fillId="0" borderId="52" xfId="0" applyFont="1" applyFill="1" applyBorder="1" applyAlignment="1">
      <alignment vertical="center" wrapText="1"/>
    </xf>
    <xf numFmtId="0" fontId="33" fillId="0" borderId="83" xfId="0" applyFont="1" applyFill="1" applyBorder="1" applyAlignment="1">
      <alignment vertical="center" wrapText="1"/>
    </xf>
    <xf numFmtId="0" fontId="33" fillId="0" borderId="8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34" fillId="0" borderId="28" xfId="0" applyFont="1" applyFill="1" applyBorder="1" applyAlignment="1">
      <alignment vertical="center" wrapText="1"/>
    </xf>
    <xf numFmtId="0" fontId="34" fillId="0" borderId="82" xfId="0" applyFont="1" applyFill="1" applyBorder="1" applyAlignment="1">
      <alignment vertical="center" wrapText="1"/>
    </xf>
    <xf numFmtId="0" fontId="34" fillId="0" borderId="76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0" fontId="7" fillId="0" borderId="69" xfId="0" applyFont="1" applyFill="1" applyBorder="1" applyAlignment="1">
      <alignment horizontal="center" vertical="top" wrapText="1"/>
    </xf>
    <xf numFmtId="3" fontId="7" fillId="0" borderId="80" xfId="0" applyNumberFormat="1" applyFont="1" applyFill="1" applyBorder="1" applyAlignment="1">
      <alignment horizontal="center" vertical="top" wrapText="1"/>
    </xf>
    <xf numFmtId="3" fontId="7" fillId="0" borderId="86" xfId="0" applyNumberFormat="1" applyFont="1" applyFill="1" applyBorder="1" applyAlignment="1">
      <alignment horizontal="center" vertical="top" wrapText="1"/>
    </xf>
    <xf numFmtId="3" fontId="7" fillId="0" borderId="81" xfId="0" applyNumberFormat="1" applyFont="1" applyFill="1" applyBorder="1" applyAlignment="1">
      <alignment horizontal="center" vertical="top" wrapText="1"/>
    </xf>
    <xf numFmtId="180" fontId="7" fillId="0" borderId="26" xfId="0" applyNumberFormat="1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vertical="top" wrapText="1"/>
    </xf>
    <xf numFmtId="0" fontId="33" fillId="0" borderId="29" xfId="0" applyFont="1" applyFill="1" applyBorder="1" applyAlignment="1">
      <alignment vertical="top" wrapText="1"/>
    </xf>
    <xf numFmtId="0" fontId="33" fillId="0" borderId="69" xfId="0" applyFont="1" applyFill="1" applyBorder="1" applyAlignment="1">
      <alignment vertical="top" wrapText="1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37" xfId="0" applyNumberFormat="1" applyFont="1" applyFill="1" applyBorder="1" applyAlignment="1">
      <alignment horizontal="center" vertical="center"/>
    </xf>
    <xf numFmtId="179" fontId="7" fillId="0" borderId="101" xfId="0" applyNumberFormat="1" applyFont="1" applyFill="1" applyBorder="1" applyAlignment="1">
      <alignment horizontal="center" vertical="center" wrapText="1"/>
    </xf>
    <xf numFmtId="179" fontId="7" fillId="0" borderId="103" xfId="0" applyNumberFormat="1" applyFont="1" applyFill="1" applyBorder="1" applyAlignment="1">
      <alignment horizontal="center" vertical="center" wrapText="1"/>
    </xf>
    <xf numFmtId="179" fontId="7" fillId="0" borderId="161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79" fontId="7" fillId="0" borderId="26" xfId="0" applyNumberFormat="1" applyFont="1" applyFill="1" applyBorder="1" applyAlignment="1">
      <alignment horizontal="center" vertical="center" shrinkToFit="1"/>
    </xf>
    <xf numFmtId="179" fontId="7" fillId="0" borderId="30" xfId="0" applyNumberFormat="1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179" fontId="7" fillId="0" borderId="29" xfId="0" applyNumberFormat="1" applyFont="1" applyFill="1" applyBorder="1" applyAlignment="1">
      <alignment horizontal="center" vertical="center" wrapText="1"/>
    </xf>
    <xf numFmtId="179" fontId="7" fillId="0" borderId="84" xfId="0" applyNumberFormat="1" applyFont="1" applyFill="1" applyBorder="1" applyAlignment="1">
      <alignment horizontal="center" vertical="center" shrinkToFit="1"/>
    </xf>
    <xf numFmtId="0" fontId="33" fillId="0" borderId="80" xfId="0" applyFont="1" applyFill="1" applyBorder="1" applyAlignment="1">
      <alignment horizontal="center" vertical="center" wrapText="1"/>
    </xf>
    <xf numFmtId="0" fontId="33" fillId="0" borderId="86" xfId="0" applyFont="1" applyFill="1" applyBorder="1" applyAlignment="1">
      <alignment horizontal="center" vertical="center" wrapText="1"/>
    </xf>
    <xf numFmtId="0" fontId="33" fillId="0" borderId="81" xfId="0" applyFont="1" applyFill="1" applyBorder="1" applyAlignment="1">
      <alignment horizontal="center" vertical="center" wrapText="1"/>
    </xf>
    <xf numFmtId="179" fontId="7" fillId="0" borderId="22" xfId="0" applyNumberFormat="1" applyFont="1" applyFill="1" applyBorder="1" applyAlignment="1">
      <alignment horizontal="center" vertical="center" wrapText="1"/>
    </xf>
    <xf numFmtId="179" fontId="7" fillId="0" borderId="76" xfId="0" applyNumberFormat="1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3" fontId="33" fillId="0" borderId="80" xfId="0" applyNumberFormat="1" applyFont="1" applyFill="1" applyBorder="1" applyAlignment="1">
      <alignment horizontal="center" vertical="top" wrapText="1"/>
    </xf>
    <xf numFmtId="3" fontId="33" fillId="0" borderId="86" xfId="0" applyNumberFormat="1" applyFont="1" applyFill="1" applyBorder="1" applyAlignment="1">
      <alignment horizontal="center" vertical="top" wrapText="1"/>
    </xf>
    <xf numFmtId="3" fontId="33" fillId="0" borderId="81" xfId="0" applyNumberFormat="1" applyFont="1" applyFill="1" applyBorder="1" applyAlignment="1">
      <alignment horizontal="center" vertical="top" wrapText="1"/>
    </xf>
    <xf numFmtId="0" fontId="34" fillId="0" borderId="53" xfId="0" applyFont="1" applyFill="1" applyBorder="1" applyAlignment="1">
      <alignment horizontal="distributed" vertical="center" textRotation="255"/>
    </xf>
    <xf numFmtId="0" fontId="33" fillId="0" borderId="80" xfId="0" applyFont="1" applyFill="1" applyBorder="1" applyAlignment="1">
      <alignment horizontal="center" vertical="top" wrapText="1"/>
    </xf>
    <xf numFmtId="0" fontId="33" fillId="0" borderId="86" xfId="0" applyFont="1" applyFill="1" applyBorder="1" applyAlignment="1">
      <alignment horizontal="center" vertical="top" wrapText="1"/>
    </xf>
    <xf numFmtId="0" fontId="33" fillId="0" borderId="81" xfId="0" applyFont="1" applyFill="1" applyBorder="1" applyAlignment="1">
      <alignment horizontal="center" vertical="top" wrapText="1"/>
    </xf>
    <xf numFmtId="0" fontId="82" fillId="0" borderId="38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53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shrinkToFit="1"/>
    </xf>
    <xf numFmtId="0" fontId="84" fillId="0" borderId="11" xfId="0" applyFont="1" applyFill="1" applyBorder="1" applyAlignment="1">
      <alignment horizontal="center" vertical="center" shrinkToFit="1"/>
    </xf>
    <xf numFmtId="0" fontId="84" fillId="0" borderId="53" xfId="0" applyFont="1" applyFill="1" applyBorder="1" applyAlignment="1">
      <alignment horizontal="center" vertical="center" shrinkToFit="1"/>
    </xf>
    <xf numFmtId="0" fontId="82" fillId="0" borderId="57" xfId="0" applyFont="1" applyFill="1" applyBorder="1" applyAlignment="1">
      <alignment horizontal="center" vertical="center" shrinkToFit="1"/>
    </xf>
    <xf numFmtId="0" fontId="82" fillId="0" borderId="141" xfId="0" applyFont="1" applyFill="1" applyBorder="1" applyAlignment="1">
      <alignment horizontal="center" vertical="center" shrinkToFit="1"/>
    </xf>
    <xf numFmtId="0" fontId="34" fillId="0" borderId="26" xfId="0" applyFont="1" applyFill="1" applyBorder="1" applyAlignment="1">
      <alignment horizontal="distributed" vertical="center" textRotation="255" wrapText="1"/>
    </xf>
    <xf numFmtId="0" fontId="34" fillId="0" borderId="84" xfId="0" applyFont="1" applyFill="1" applyBorder="1" applyAlignment="1">
      <alignment horizontal="distributed" vertical="center" textRotation="255" wrapText="1"/>
    </xf>
    <xf numFmtId="0" fontId="33" fillId="0" borderId="38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53" xfId="0" applyFont="1" applyFill="1" applyBorder="1" applyAlignment="1">
      <alignment vertical="center" wrapText="1"/>
    </xf>
    <xf numFmtId="180" fontId="7" fillId="0" borderId="56" xfId="0" applyNumberFormat="1" applyFont="1" applyFill="1" applyBorder="1" applyAlignment="1">
      <alignment vertical="center" wrapText="1"/>
    </xf>
    <xf numFmtId="180" fontId="7" fillId="0" borderId="29" xfId="0" applyNumberFormat="1" applyFont="1" applyFill="1" applyBorder="1" applyAlignment="1">
      <alignment vertical="center" wrapText="1"/>
    </xf>
    <xf numFmtId="180" fontId="7" fillId="0" borderId="69" xfId="0" applyNumberFormat="1" applyFont="1" applyFill="1" applyBorder="1" applyAlignment="1">
      <alignment vertical="center" wrapText="1"/>
    </xf>
    <xf numFmtId="180" fontId="33" fillId="0" borderId="22" xfId="0" applyNumberFormat="1" applyFont="1" applyFill="1" applyBorder="1" applyAlignment="1">
      <alignment horizontal="left" vertical="top" wrapText="1"/>
    </xf>
    <xf numFmtId="180" fontId="33" fillId="0" borderId="29" xfId="0" applyNumberFormat="1" applyFont="1" applyFill="1" applyBorder="1" applyAlignment="1">
      <alignment horizontal="left" vertical="top" wrapText="1"/>
    </xf>
    <xf numFmtId="0" fontId="7" fillId="0" borderId="56" xfId="0" applyFont="1" applyFill="1" applyBorder="1" applyAlignment="1">
      <alignment vertical="center" wrapText="1"/>
    </xf>
    <xf numFmtId="0" fontId="34" fillId="0" borderId="26" xfId="0" applyFont="1" applyFill="1" applyBorder="1" applyAlignment="1">
      <alignment horizontal="center" vertical="center" shrinkToFit="1"/>
    </xf>
    <xf numFmtId="0" fontId="34" fillId="0" borderId="84" xfId="0" applyFont="1" applyFill="1" applyBorder="1" applyAlignment="1">
      <alignment horizontal="center" vertical="center" shrinkToFit="1"/>
    </xf>
    <xf numFmtId="0" fontId="34" fillId="0" borderId="29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101" xfId="0" applyFont="1" applyFill="1" applyBorder="1" applyAlignment="1">
      <alignment horizontal="center" vertical="center" wrapText="1" shrinkToFit="1"/>
    </xf>
    <xf numFmtId="0" fontId="34" fillId="0" borderId="103" xfId="0" applyFont="1" applyFill="1" applyBorder="1" applyAlignment="1">
      <alignment horizontal="center" vertical="center" shrinkToFit="1"/>
    </xf>
    <xf numFmtId="0" fontId="34" fillId="0" borderId="161" xfId="0" applyFont="1" applyFill="1" applyBorder="1" applyAlignment="1">
      <alignment horizontal="center" vertical="center" shrinkToFit="1"/>
    </xf>
    <xf numFmtId="0" fontId="34" fillId="0" borderId="22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top" wrapText="1"/>
    </xf>
    <xf numFmtId="0" fontId="33" fillId="0" borderId="45" xfId="0" applyFont="1" applyFill="1" applyBorder="1" applyAlignment="1">
      <alignment horizontal="center" vertical="top" wrapText="1"/>
    </xf>
    <xf numFmtId="0" fontId="33" fillId="0" borderId="52" xfId="0" applyFont="1" applyFill="1" applyBorder="1" applyAlignment="1">
      <alignment horizontal="center" vertical="top" wrapText="1"/>
    </xf>
    <xf numFmtId="0" fontId="34" fillId="0" borderId="4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79" fontId="34" fillId="0" borderId="103" xfId="0" applyNumberFormat="1" applyFont="1" applyFill="1" applyBorder="1" applyAlignment="1">
      <alignment horizontal="center" vertical="center" wrapText="1"/>
    </xf>
    <xf numFmtId="179" fontId="34" fillId="0" borderId="161" xfId="0" applyNumberFormat="1" applyFont="1" applyFill="1" applyBorder="1" applyAlignment="1">
      <alignment horizontal="center" vertical="center" wrapText="1"/>
    </xf>
    <xf numFmtId="0" fontId="34" fillId="0" borderId="76" xfId="0" applyFont="1" applyFill="1" applyBorder="1" applyAlignment="1">
      <alignment horizontal="center" vertical="center" shrinkToFit="1"/>
    </xf>
    <xf numFmtId="179" fontId="34" fillId="0" borderId="101" xfId="0" applyNumberFormat="1" applyFont="1" applyFill="1" applyBorder="1" applyAlignment="1">
      <alignment horizontal="center" vertical="center" wrapText="1"/>
    </xf>
    <xf numFmtId="179" fontId="34" fillId="0" borderId="22" xfId="0" applyNumberFormat="1" applyFont="1" applyFill="1" applyBorder="1" applyAlignment="1">
      <alignment horizontal="center" vertical="center"/>
    </xf>
    <xf numFmtId="179" fontId="34" fillId="0" borderId="29" xfId="0" applyNumberFormat="1" applyFont="1" applyFill="1" applyBorder="1" applyAlignment="1">
      <alignment horizontal="center" vertical="center"/>
    </xf>
    <xf numFmtId="179" fontId="34" fillId="0" borderId="22" xfId="0" applyNumberFormat="1" applyFont="1" applyFill="1" applyBorder="1" applyAlignment="1">
      <alignment horizontal="center" vertical="center" wrapText="1"/>
    </xf>
    <xf numFmtId="179" fontId="34" fillId="0" borderId="46" xfId="0" applyNumberFormat="1" applyFont="1" applyFill="1" applyBorder="1" applyAlignment="1">
      <alignment horizontal="center" vertical="center"/>
    </xf>
    <xf numFmtId="179" fontId="34" fillId="0" borderId="55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left" vertical="center" wrapText="1"/>
    </xf>
    <xf numFmtId="0" fontId="34" fillId="0" borderId="82" xfId="0" applyFont="1" applyFill="1" applyBorder="1" applyAlignment="1">
      <alignment horizontal="left" vertical="center" wrapText="1"/>
    </xf>
    <xf numFmtId="0" fontId="34" fillId="0" borderId="76" xfId="0" applyFont="1" applyFill="1" applyBorder="1" applyAlignment="1">
      <alignment horizontal="left" vertical="center" wrapText="1"/>
    </xf>
    <xf numFmtId="0" fontId="34" fillId="0" borderId="45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83" xfId="0" applyFont="1" applyFill="1" applyBorder="1" applyAlignment="1">
      <alignment horizontal="left" vertical="center" wrapText="1"/>
    </xf>
    <xf numFmtId="0" fontId="34" fillId="0" borderId="84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vertical="top" wrapText="1"/>
    </xf>
    <xf numFmtId="3" fontId="7" fillId="0" borderId="22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179" fontId="34" fillId="0" borderId="36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distributed" wrapText="1"/>
    </xf>
    <xf numFmtId="0" fontId="33" fillId="0" borderId="22" xfId="0" applyFont="1" applyFill="1" applyBorder="1" applyAlignment="1" quotePrefix="1">
      <alignment horizontal="center" vertical="top" wrapText="1"/>
    </xf>
    <xf numFmtId="0" fontId="33" fillId="0" borderId="29" xfId="0" applyFont="1" applyFill="1" applyBorder="1" applyAlignment="1" quotePrefix="1">
      <alignment horizontal="center" vertical="top" wrapText="1"/>
    </xf>
    <xf numFmtId="3" fontId="7" fillId="0" borderId="56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69" xfId="0" applyNumberFormat="1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top" wrapTex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180" fontId="7" fillId="0" borderId="101" xfId="0" applyNumberFormat="1" applyFont="1" applyFill="1" applyBorder="1" applyAlignment="1">
      <alignment horizontal="center" vertical="center" shrinkToFit="1"/>
    </xf>
    <xf numFmtId="180" fontId="7" fillId="0" borderId="103" xfId="0" applyNumberFormat="1" applyFont="1" applyFill="1" applyBorder="1" applyAlignment="1">
      <alignment horizontal="center" vertical="center" shrinkToFit="1"/>
    </xf>
    <xf numFmtId="180" fontId="7" fillId="0" borderId="161" xfId="0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9" fontId="7" fillId="0" borderId="48" xfId="0" applyNumberFormat="1" applyFont="1" applyFill="1" applyBorder="1" applyAlignment="1">
      <alignment horizontal="center" vertical="center" wrapText="1"/>
    </xf>
    <xf numFmtId="179" fontId="7" fillId="0" borderId="56" xfId="0" applyNumberFormat="1" applyFont="1" applyFill="1" applyBorder="1" applyAlignment="1">
      <alignment horizontal="center" vertical="center"/>
    </xf>
    <xf numFmtId="179" fontId="7" fillId="0" borderId="56" xfId="0" applyNumberFormat="1" applyFont="1" applyFill="1" applyBorder="1" applyAlignment="1">
      <alignment horizontal="center" vertical="center" wrapText="1"/>
    </xf>
    <xf numFmtId="179" fontId="7" fillId="0" borderId="49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left" vertical="center"/>
    </xf>
    <xf numFmtId="0" fontId="34" fillId="0" borderId="53" xfId="0" applyFont="1" applyFill="1" applyBorder="1" applyAlignment="1">
      <alignment horizontal="distributed" vertical="center" textRotation="255" wrapText="1"/>
    </xf>
    <xf numFmtId="0" fontId="7" fillId="0" borderId="49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180" fontId="33" fillId="0" borderId="22" xfId="0" applyNumberFormat="1" applyFont="1" applyFill="1" applyBorder="1" applyAlignment="1">
      <alignment horizontal="center" vertical="top" wrapText="1"/>
    </xf>
    <xf numFmtId="180" fontId="33" fillId="0" borderId="29" xfId="0" applyNumberFormat="1" applyFont="1" applyFill="1" applyBorder="1" applyAlignment="1">
      <alignment horizontal="center" vertical="top" wrapText="1"/>
    </xf>
    <xf numFmtId="180" fontId="7" fillId="0" borderId="22" xfId="0" applyNumberFormat="1" applyFont="1" applyFill="1" applyBorder="1" applyAlignment="1">
      <alignment vertical="center" wrapText="1"/>
    </xf>
    <xf numFmtId="180" fontId="7" fillId="0" borderId="14" xfId="0" applyNumberFormat="1" applyFont="1" applyFill="1" applyBorder="1" applyAlignment="1">
      <alignment vertical="center" wrapText="1"/>
    </xf>
    <xf numFmtId="179" fontId="7" fillId="0" borderId="36" xfId="0" applyNumberFormat="1" applyFont="1" applyFill="1" applyBorder="1" applyAlignment="1">
      <alignment horizontal="center" vertical="center" wrapText="1"/>
    </xf>
    <xf numFmtId="38" fontId="15" fillId="0" borderId="66" xfId="50" applyFont="1" applyFill="1" applyBorder="1" applyAlignment="1" applyProtection="1">
      <alignment horizontal="center" vertical="center" wrapText="1"/>
      <protection/>
    </xf>
    <xf numFmtId="38" fontId="15" fillId="0" borderId="35" xfId="50" applyFont="1" applyFill="1" applyBorder="1" applyAlignment="1" applyProtection="1">
      <alignment horizontal="center" vertical="center" wrapText="1"/>
      <protection/>
    </xf>
    <xf numFmtId="38" fontId="15" fillId="0" borderId="24" xfId="50" applyFont="1" applyFill="1" applyBorder="1" applyAlignment="1" applyProtection="1">
      <alignment horizontal="center" vertical="center" wrapText="1"/>
      <protection/>
    </xf>
    <xf numFmtId="38" fontId="82" fillId="0" borderId="14" xfId="50" applyFont="1" applyFill="1" applyBorder="1" applyAlignment="1" applyProtection="1">
      <alignment horizontal="center" vertical="center"/>
      <protection/>
    </xf>
    <xf numFmtId="38" fontId="15" fillId="0" borderId="0" xfId="5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>
      <alignment vertical="top" wrapText="1"/>
    </xf>
    <xf numFmtId="38" fontId="82" fillId="0" borderId="159" xfId="50" applyFont="1" applyFill="1" applyBorder="1" applyAlignment="1" applyProtection="1">
      <alignment horizontal="center" vertical="center" wrapText="1"/>
      <protection/>
    </xf>
    <xf numFmtId="38" fontId="82" fillId="0" borderId="65" xfId="50" applyFont="1" applyFill="1" applyBorder="1" applyAlignment="1" applyProtection="1">
      <alignment horizontal="center" vertical="center" wrapText="1"/>
      <protection/>
    </xf>
    <xf numFmtId="38" fontId="82" fillId="0" borderId="102" xfId="50" applyFont="1" applyFill="1" applyBorder="1" applyAlignment="1" applyProtection="1">
      <alignment horizontal="center" vertical="center" wrapText="1"/>
      <protection/>
    </xf>
    <xf numFmtId="38" fontId="13" fillId="0" borderId="22" xfId="50" applyFont="1" applyFill="1" applyBorder="1" applyAlignment="1" applyProtection="1">
      <alignment horizontal="distributed" vertical="center"/>
      <protection/>
    </xf>
    <xf numFmtId="38" fontId="82" fillId="0" borderId="87" xfId="50" applyFont="1" applyFill="1" applyBorder="1" applyAlignment="1" applyProtection="1">
      <alignment horizontal="center" vertical="center" wrapText="1"/>
      <protection/>
    </xf>
    <xf numFmtId="0" fontId="82" fillId="0" borderId="47" xfId="0" applyFont="1" applyFill="1" applyBorder="1" applyAlignment="1">
      <alignment horizontal="center" vertical="center" wrapText="1"/>
    </xf>
    <xf numFmtId="0" fontId="82" fillId="0" borderId="59" xfId="0" applyFont="1" applyFill="1" applyBorder="1" applyAlignment="1">
      <alignment horizontal="center" vertical="center" wrapText="1"/>
    </xf>
    <xf numFmtId="38" fontId="82" fillId="0" borderId="25" xfId="50" applyFont="1" applyFill="1" applyBorder="1" applyAlignment="1" applyProtection="1">
      <alignment horizontal="center" vertical="center"/>
      <protection/>
    </xf>
    <xf numFmtId="38" fontId="82" fillId="0" borderId="16" xfId="50" applyFont="1" applyFill="1" applyBorder="1" applyAlignment="1" applyProtection="1">
      <alignment horizontal="center" vertical="center"/>
      <protection/>
    </xf>
    <xf numFmtId="38" fontId="15" fillId="0" borderId="140" xfId="50" applyFont="1" applyFill="1" applyBorder="1" applyAlignment="1" applyProtection="1">
      <alignment horizontal="distributed" vertical="center" indent="5"/>
      <protection/>
    </xf>
    <xf numFmtId="38" fontId="15" fillId="0" borderId="57" xfId="50" applyFont="1" applyFill="1" applyBorder="1" applyAlignment="1" applyProtection="1">
      <alignment horizontal="distributed" vertical="center" indent="5"/>
      <protection/>
    </xf>
    <xf numFmtId="38" fontId="34" fillId="0" borderId="21" xfId="50" applyFont="1" applyFill="1" applyBorder="1" applyAlignment="1" applyProtection="1">
      <alignment horizontal="center" vertical="center"/>
      <protection/>
    </xf>
    <xf numFmtId="38" fontId="34" fillId="0" borderId="13" xfId="50" applyFont="1" applyFill="1" applyBorder="1" applyAlignment="1" applyProtection="1">
      <alignment horizontal="center" vertical="center"/>
      <protection/>
    </xf>
    <xf numFmtId="38" fontId="15" fillId="0" borderId="21" xfId="50" applyFont="1" applyFill="1" applyBorder="1" applyAlignment="1" applyProtection="1">
      <alignment horizontal="center" vertical="center"/>
      <protection/>
    </xf>
    <xf numFmtId="38" fontId="34" fillId="0" borderId="21" xfId="50" applyFont="1" applyFill="1" applyBorder="1" applyAlignment="1" applyProtection="1">
      <alignment horizontal="center" vertical="center" wrapText="1"/>
      <protection/>
    </xf>
    <xf numFmtId="38" fontId="15" fillId="0" borderId="47" xfId="50" applyFont="1" applyFill="1" applyBorder="1" applyAlignment="1" applyProtection="1">
      <alignment horizontal="center" vertical="center" wrapText="1"/>
      <protection/>
    </xf>
    <xf numFmtId="38" fontId="15" fillId="0" borderId="59" xfId="50" applyFont="1" applyFill="1" applyBorder="1" applyAlignment="1" applyProtection="1">
      <alignment horizontal="center" vertical="center"/>
      <protection/>
    </xf>
    <xf numFmtId="38" fontId="15" fillId="0" borderId="21" xfId="50" applyFont="1" applyFill="1" applyBorder="1" applyAlignment="1" applyProtection="1">
      <alignment horizontal="center" vertical="center" wrapText="1"/>
      <protection/>
    </xf>
    <xf numFmtId="38" fontId="15" fillId="0" borderId="13" xfId="50" applyFont="1" applyFill="1" applyBorder="1" applyAlignment="1" applyProtection="1">
      <alignment horizontal="center" vertical="center"/>
      <protection/>
    </xf>
    <xf numFmtId="38" fontId="15" fillId="0" borderId="23" xfId="50" applyFont="1" applyFill="1" applyBorder="1" applyAlignment="1" applyProtection="1">
      <alignment horizontal="center" vertical="center" wrapText="1"/>
      <protection/>
    </xf>
    <xf numFmtId="38" fontId="15" fillId="0" borderId="12" xfId="50" applyFont="1" applyFill="1" applyBorder="1" applyAlignment="1" applyProtection="1">
      <alignment horizontal="center" vertical="center"/>
      <protection/>
    </xf>
    <xf numFmtId="38" fontId="6" fillId="0" borderId="31" xfId="50" applyFont="1" applyFill="1" applyBorder="1" applyAlignment="1">
      <alignment vertical="center"/>
    </xf>
    <xf numFmtId="38" fontId="11" fillId="0" borderId="31" xfId="50" applyFont="1" applyFill="1" applyBorder="1" applyAlignment="1">
      <alignment vertical="center"/>
    </xf>
    <xf numFmtId="38" fontId="13" fillId="0" borderId="144" xfId="50" applyFont="1" applyFill="1" applyBorder="1" applyAlignment="1" applyProtection="1">
      <alignment horizontal="left" vertical="center" wrapText="1"/>
      <protection/>
    </xf>
    <xf numFmtId="38" fontId="13" fillId="0" borderId="162" xfId="50" applyFont="1" applyFill="1" applyBorder="1" applyAlignment="1" applyProtection="1">
      <alignment horizontal="left" vertical="center" wrapText="1"/>
      <protection/>
    </xf>
    <xf numFmtId="38" fontId="13" fillId="0" borderId="163" xfId="50" applyFont="1" applyFill="1" applyBorder="1" applyAlignment="1" applyProtection="1">
      <alignment horizontal="left" vertical="center" wrapText="1"/>
      <protection/>
    </xf>
    <xf numFmtId="38" fontId="13" fillId="0" borderId="164" xfId="50" applyFont="1" applyFill="1" applyBorder="1" applyAlignment="1" applyProtection="1">
      <alignment horizontal="left" vertical="center" wrapText="1"/>
      <protection/>
    </xf>
    <xf numFmtId="38" fontId="13" fillId="0" borderId="165" xfId="50" applyFont="1" applyFill="1" applyBorder="1" applyAlignment="1" applyProtection="1">
      <alignment horizontal="left" vertical="center" wrapText="1"/>
      <protection/>
    </xf>
    <xf numFmtId="38" fontId="34" fillId="0" borderId="32" xfId="50" applyFont="1" applyFill="1" applyBorder="1" applyAlignment="1" applyProtection="1">
      <alignment horizontal="center" vertical="center" wrapText="1"/>
      <protection/>
    </xf>
    <xf numFmtId="38" fontId="34" fillId="0" borderId="13" xfId="50" applyFont="1" applyFill="1" applyBorder="1" applyAlignment="1" applyProtection="1">
      <alignment horizontal="center" vertical="center" wrapText="1"/>
      <protection/>
    </xf>
    <xf numFmtId="38" fontId="34" fillId="0" borderId="32" xfId="50" applyFont="1" applyFill="1" applyBorder="1" applyAlignment="1" applyProtection="1">
      <alignment horizontal="center" vertical="center"/>
      <protection/>
    </xf>
    <xf numFmtId="38" fontId="13" fillId="0" borderId="148" xfId="50" applyFont="1" applyFill="1" applyBorder="1" applyAlignment="1" applyProtection="1">
      <alignment horizontal="left" vertical="center" wrapText="1"/>
      <protection/>
    </xf>
    <xf numFmtId="38" fontId="13" fillId="0" borderId="149" xfId="50" applyFont="1" applyFill="1" applyBorder="1" applyAlignment="1" applyProtection="1">
      <alignment horizontal="left" vertical="center" wrapText="1"/>
      <protection/>
    </xf>
    <xf numFmtId="38" fontId="13" fillId="0" borderId="150" xfId="50" applyFont="1" applyFill="1" applyBorder="1" applyAlignment="1" applyProtection="1">
      <alignment horizontal="left" vertical="center" wrapText="1"/>
      <protection/>
    </xf>
    <xf numFmtId="38" fontId="13" fillId="0" borderId="151" xfId="50" applyFont="1" applyFill="1" applyBorder="1" applyAlignment="1" applyProtection="1">
      <alignment horizontal="left" vertical="center" wrapText="1"/>
      <protection/>
    </xf>
    <xf numFmtId="38" fontId="13" fillId="0" borderId="152" xfId="50" applyFont="1" applyFill="1" applyBorder="1" applyAlignment="1" applyProtection="1">
      <alignment horizontal="left" vertical="center" wrapText="1"/>
      <protection/>
    </xf>
    <xf numFmtId="38" fontId="13" fillId="0" borderId="153" xfId="50" applyFont="1" applyFill="1" applyBorder="1" applyAlignment="1" applyProtection="1">
      <alignment horizontal="left" vertical="center" wrapText="1"/>
      <protection/>
    </xf>
    <xf numFmtId="38" fontId="13" fillId="0" borderId="154" xfId="50" applyFont="1" applyFill="1" applyBorder="1" applyAlignment="1" applyProtection="1">
      <alignment horizontal="left" vertical="center" wrapText="1"/>
      <protection/>
    </xf>
    <xf numFmtId="38" fontId="13" fillId="0" borderId="155" xfId="50" applyFont="1" applyFill="1" applyBorder="1" applyAlignment="1" applyProtection="1">
      <alignment horizontal="left" vertical="center" wrapText="1"/>
      <protection/>
    </xf>
    <xf numFmtId="38" fontId="13" fillId="0" borderId="156" xfId="50" applyFont="1" applyFill="1" applyBorder="1" applyAlignment="1" applyProtection="1">
      <alignment horizontal="left" vertical="center" wrapText="1"/>
      <protection/>
    </xf>
    <xf numFmtId="38" fontId="15" fillId="0" borderId="52" xfId="50" applyFont="1" applyFill="1" applyBorder="1" applyAlignment="1" applyProtection="1">
      <alignment horizontal="center" vertical="center" wrapText="1"/>
      <protection/>
    </xf>
    <xf numFmtId="38" fontId="15" fillId="0" borderId="84" xfId="50" applyFont="1" applyFill="1" applyBorder="1" applyAlignment="1" applyProtection="1">
      <alignment horizontal="center" vertical="center" wrapText="1"/>
      <protection/>
    </xf>
    <xf numFmtId="38" fontId="15" fillId="0" borderId="83" xfId="50" applyFont="1" applyFill="1" applyBorder="1" applyAlignment="1" applyProtection="1">
      <alignment horizontal="center" vertical="center"/>
      <protection/>
    </xf>
    <xf numFmtId="38" fontId="15" fillId="0" borderId="84" xfId="50" applyFont="1" applyFill="1" applyBorder="1" applyAlignment="1" applyProtection="1">
      <alignment horizontal="center" vertical="center"/>
      <protection/>
    </xf>
    <xf numFmtId="38" fontId="15" fillId="0" borderId="0" xfId="50" applyFont="1" applyFill="1" applyBorder="1" applyAlignment="1" applyProtection="1">
      <alignment horizontal="center" vertical="center" wrapText="1"/>
      <protection/>
    </xf>
    <xf numFmtId="38" fontId="15" fillId="0" borderId="31" xfId="50" applyFont="1" applyFill="1" applyBorder="1" applyAlignment="1" applyProtection="1">
      <alignment horizontal="center" vertical="center" wrapText="1"/>
      <protection/>
    </xf>
    <xf numFmtId="38" fontId="15" fillId="0" borderId="133" xfId="50" applyFont="1" applyFill="1" applyBorder="1" applyAlignment="1" applyProtection="1">
      <alignment horizontal="center" vertical="center" wrapText="1"/>
      <protection/>
    </xf>
    <xf numFmtId="38" fontId="15" fillId="0" borderId="83" xfId="50" applyFont="1" applyFill="1" applyBorder="1" applyAlignment="1" applyProtection="1">
      <alignment horizontal="center" vertical="center" wrapText="1"/>
      <protection/>
    </xf>
    <xf numFmtId="38" fontId="15" fillId="0" borderId="135" xfId="50" applyFont="1" applyFill="1" applyBorder="1" applyAlignment="1" applyProtection="1">
      <alignment horizontal="center" vertical="center" wrapText="1"/>
      <protection/>
    </xf>
    <xf numFmtId="38" fontId="14" fillId="0" borderId="21" xfId="50" applyFont="1" applyFill="1" applyBorder="1" applyAlignment="1" applyProtection="1">
      <alignment horizontal="center" vertical="center"/>
      <protection/>
    </xf>
    <xf numFmtId="38" fontId="14" fillId="0" borderId="13" xfId="50" applyFont="1" applyFill="1" applyBorder="1" applyAlignment="1" applyProtection="1">
      <alignment horizontal="center" vertical="center"/>
      <protection/>
    </xf>
    <xf numFmtId="38" fontId="34" fillId="0" borderId="35" xfId="50" applyFont="1" applyFill="1" applyBorder="1" applyAlignment="1" applyProtection="1">
      <alignment horizontal="center" vertical="center" wrapText="1"/>
      <protection/>
    </xf>
    <xf numFmtId="38" fontId="34" fillId="0" borderId="24" xfId="50" applyFont="1" applyFill="1" applyBorder="1" applyAlignment="1" applyProtection="1">
      <alignment horizontal="center" vertical="center" wrapText="1"/>
      <protection/>
    </xf>
    <xf numFmtId="38" fontId="15" fillId="0" borderId="140" xfId="50" applyFont="1" applyFill="1" applyBorder="1" applyAlignment="1" applyProtection="1">
      <alignment horizontal="center" vertical="center"/>
      <protection/>
    </xf>
    <xf numFmtId="38" fontId="15" fillId="0" borderId="141" xfId="50" applyFont="1" applyFill="1" applyBorder="1" applyAlignment="1" applyProtection="1">
      <alignment horizontal="center" vertical="center"/>
      <protection/>
    </xf>
    <xf numFmtId="38" fontId="15" fillId="0" borderId="60" xfId="50" applyFont="1" applyFill="1" applyBorder="1" applyAlignment="1" applyProtection="1">
      <alignment horizontal="center" vertical="center"/>
      <protection/>
    </xf>
    <xf numFmtId="38" fontId="15" fillId="0" borderId="69" xfId="50" applyFont="1" applyFill="1" applyBorder="1" applyAlignment="1" applyProtection="1">
      <alignment horizontal="center" vertical="center"/>
      <protection/>
    </xf>
    <xf numFmtId="38" fontId="15" fillId="0" borderId="69" xfId="50" applyFont="1" applyFill="1" applyBorder="1" applyAlignment="1" applyProtection="1">
      <alignment horizontal="center" vertical="center" wrapText="1"/>
      <protection/>
    </xf>
    <xf numFmtId="38" fontId="15" fillId="0" borderId="68" xfId="50" applyFont="1" applyFill="1" applyBorder="1" applyAlignment="1" applyProtection="1">
      <alignment horizontal="center" vertical="center" wrapText="1"/>
      <protection/>
    </xf>
    <xf numFmtId="38" fontId="14" fillId="0" borderId="21" xfId="50" applyFont="1" applyFill="1" applyBorder="1" applyAlignment="1" applyProtection="1">
      <alignment horizontal="center" vertical="center" wrapText="1"/>
      <protection/>
    </xf>
    <xf numFmtId="38" fontId="14" fillId="0" borderId="13" xfId="50" applyFont="1" applyFill="1" applyBorder="1" applyAlignment="1" applyProtection="1">
      <alignment horizontal="center" vertical="center" wrapText="1"/>
      <protection/>
    </xf>
    <xf numFmtId="38" fontId="13" fillId="0" borderId="22" xfId="50" applyFont="1" applyFill="1" applyBorder="1" applyAlignment="1" applyProtection="1">
      <alignment horizontal="center" vertical="center"/>
      <protection/>
    </xf>
    <xf numFmtId="38" fontId="14" fillId="0" borderId="47" xfId="50" applyFont="1" applyFill="1" applyBorder="1" applyAlignment="1" applyProtection="1">
      <alignment horizontal="center" vertical="center"/>
      <protection/>
    </xf>
    <xf numFmtId="38" fontId="14" fillId="0" borderId="35" xfId="50" applyFont="1" applyFill="1" applyBorder="1" applyAlignment="1" applyProtection="1">
      <alignment horizontal="center" vertical="center"/>
      <protection/>
    </xf>
    <xf numFmtId="38" fontId="14" fillId="0" borderId="24" xfId="50" applyFont="1" applyFill="1" applyBorder="1" applyAlignment="1" applyProtection="1">
      <alignment horizontal="center" vertical="center"/>
      <protection/>
    </xf>
    <xf numFmtId="38" fontId="13" fillId="0" borderId="159" xfId="50" applyFont="1" applyFill="1" applyBorder="1" applyAlignment="1" applyProtection="1">
      <alignment horizontal="center" vertical="center" wrapText="1"/>
      <protection/>
    </xf>
    <xf numFmtId="38" fontId="13" fillId="0" borderId="65" xfId="50" applyFont="1" applyFill="1" applyBorder="1" applyAlignment="1" applyProtection="1">
      <alignment horizontal="center" vertical="center" wrapText="1"/>
      <protection/>
    </xf>
    <xf numFmtId="38" fontId="13" fillId="0" borderId="102" xfId="50" applyFont="1" applyFill="1" applyBorder="1" applyAlignment="1" applyProtection="1">
      <alignment horizontal="center" vertical="center" wrapText="1"/>
      <protection/>
    </xf>
    <xf numFmtId="38" fontId="13" fillId="0" borderId="69" xfId="50" applyFont="1" applyFill="1" applyBorder="1" applyAlignment="1" applyProtection="1">
      <alignment horizontal="distributed" vertical="center"/>
      <protection/>
    </xf>
    <xf numFmtId="38" fontId="82" fillId="0" borderId="60" xfId="5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38" fontId="15" fillId="0" borderId="143" xfId="50" applyFont="1" applyFill="1" applyBorder="1" applyAlignment="1" applyProtection="1">
      <alignment horizontal="left" vertical="center" wrapText="1"/>
      <protection/>
    </xf>
    <xf numFmtId="38" fontId="15" fillId="0" borderId="144" xfId="50" applyFont="1" applyFill="1" applyBorder="1" applyAlignment="1" applyProtection="1">
      <alignment horizontal="left" vertical="center" wrapText="1"/>
      <protection/>
    </xf>
    <xf numFmtId="38" fontId="15" fillId="0" borderId="162" xfId="50" applyFont="1" applyFill="1" applyBorder="1" applyAlignment="1" applyProtection="1">
      <alignment horizontal="left" vertical="center" wrapText="1"/>
      <protection/>
    </xf>
    <xf numFmtId="38" fontId="15" fillId="0" borderId="163" xfId="50" applyFont="1" applyFill="1" applyBorder="1" applyAlignment="1" applyProtection="1">
      <alignment horizontal="left" vertical="center" wrapText="1"/>
      <protection/>
    </xf>
    <xf numFmtId="38" fontId="15" fillId="0" borderId="56" xfId="50" applyFont="1" applyFill="1" applyBorder="1" applyAlignment="1" applyProtection="1">
      <alignment horizontal="center" vertical="center" wrapText="1"/>
      <protection/>
    </xf>
    <xf numFmtId="38" fontId="15" fillId="0" borderId="29" xfId="50" applyFont="1" applyFill="1" applyBorder="1" applyAlignment="1" applyProtection="1">
      <alignment horizontal="center" vertical="center" wrapText="1"/>
      <protection/>
    </xf>
    <xf numFmtId="38" fontId="15" fillId="0" borderId="51" xfId="50" applyFont="1" applyFill="1" applyBorder="1" applyAlignment="1" applyProtection="1">
      <alignment horizontal="center" vertical="center" wrapText="1"/>
      <protection/>
    </xf>
    <xf numFmtId="38" fontId="15" fillId="0" borderId="57" xfId="50" applyFont="1" applyFill="1" applyBorder="1" applyAlignment="1" applyProtection="1">
      <alignment horizontal="center" vertical="center" wrapText="1"/>
      <protection/>
    </xf>
    <xf numFmtId="38" fontId="15" fillId="0" borderId="141" xfId="50" applyFont="1" applyFill="1" applyBorder="1" applyAlignment="1" applyProtection="1">
      <alignment horizontal="center" vertical="center" wrapText="1"/>
      <protection/>
    </xf>
    <xf numFmtId="38" fontId="34" fillId="0" borderId="12" xfId="50" applyFont="1" applyFill="1" applyBorder="1" applyAlignment="1" applyProtection="1">
      <alignment horizontal="center" vertical="center" wrapText="1"/>
      <protection/>
    </xf>
    <xf numFmtId="38" fontId="34" fillId="0" borderId="18" xfId="50" applyFont="1" applyFill="1" applyBorder="1" applyAlignment="1" applyProtection="1">
      <alignment horizontal="center" vertical="center" wrapText="1"/>
      <protection/>
    </xf>
    <xf numFmtId="38" fontId="15" fillId="0" borderId="12" xfId="50" applyFont="1" applyFill="1" applyBorder="1" applyAlignment="1" applyProtection="1">
      <alignment horizontal="center" vertical="center" wrapText="1"/>
      <protection/>
    </xf>
    <xf numFmtId="38" fontId="15" fillId="0" borderId="18" xfId="50" applyFont="1" applyFill="1" applyBorder="1" applyAlignment="1" applyProtection="1">
      <alignment horizontal="center" vertical="center" wrapText="1"/>
      <protection/>
    </xf>
    <xf numFmtId="38" fontId="33" fillId="0" borderId="12" xfId="50" applyFont="1" applyFill="1" applyBorder="1" applyAlignment="1" applyProtection="1">
      <alignment horizontal="center" vertical="center" wrapText="1"/>
      <protection/>
    </xf>
    <xf numFmtId="38" fontId="33" fillId="0" borderId="18" xfId="50" applyFont="1" applyFill="1" applyBorder="1" applyAlignment="1" applyProtection="1">
      <alignment horizontal="center" vertical="center" wrapText="1"/>
      <protection/>
    </xf>
    <xf numFmtId="38" fontId="15" fillId="0" borderId="49" xfId="50" applyFont="1" applyFill="1" applyBorder="1" applyAlignment="1" applyProtection="1">
      <alignment horizontal="center" vertical="center" wrapText="1"/>
      <protection/>
    </xf>
    <xf numFmtId="38" fontId="15" fillId="0" borderId="37" xfId="50" applyFont="1" applyFill="1" applyBorder="1" applyAlignment="1" applyProtection="1">
      <alignment horizontal="center" vertical="center" wrapText="1"/>
      <protection/>
    </xf>
    <xf numFmtId="38" fontId="15" fillId="0" borderId="166" xfId="50" applyFont="1" applyFill="1" applyBorder="1" applyAlignment="1" applyProtection="1">
      <alignment horizontal="center" vertical="center"/>
      <protection/>
    </xf>
    <xf numFmtId="38" fontId="15" fillId="0" borderId="18" xfId="50" applyFont="1" applyFill="1" applyBorder="1" applyAlignment="1" applyProtection="1">
      <alignment horizontal="center" vertical="center"/>
      <protection/>
    </xf>
    <xf numFmtId="38" fontId="59" fillId="0" borderId="12" xfId="50" applyFont="1" applyFill="1" applyBorder="1" applyAlignment="1" applyProtection="1">
      <alignment horizontal="center" vertical="center" wrapText="1"/>
      <protection/>
    </xf>
    <xf numFmtId="38" fontId="59" fillId="0" borderId="18" xfId="50" applyFont="1" applyFill="1" applyBorder="1" applyAlignment="1" applyProtection="1">
      <alignment horizontal="center" vertical="center" wrapText="1"/>
      <protection/>
    </xf>
    <xf numFmtId="38" fontId="15" fillId="0" borderId="67" xfId="50" applyFont="1" applyFill="1" applyBorder="1" applyAlignment="1" applyProtection="1">
      <alignment horizontal="center" vertical="center"/>
      <protection/>
    </xf>
    <xf numFmtId="38" fontId="15" fillId="0" borderId="167" xfId="50" applyFont="1" applyFill="1" applyBorder="1" applyAlignment="1" applyProtection="1">
      <alignment horizontal="center" vertical="center"/>
      <protection/>
    </xf>
    <xf numFmtId="38" fontId="15" fillId="0" borderId="41" xfId="50" applyFont="1" applyFill="1" applyBorder="1" applyAlignment="1" applyProtection="1">
      <alignment horizontal="center" vertical="center"/>
      <protection/>
    </xf>
    <xf numFmtId="38" fontId="15" fillId="0" borderId="41" xfId="50" applyFont="1" applyFill="1" applyBorder="1" applyAlignment="1" applyProtection="1">
      <alignment horizontal="center" vertical="center" wrapText="1"/>
      <protection/>
    </xf>
    <xf numFmtId="38" fontId="15" fillId="0" borderId="30" xfId="50" applyFont="1" applyFill="1" applyBorder="1" applyAlignment="1" applyProtection="1">
      <alignment horizontal="center" vertical="center" wrapText="1"/>
      <protection/>
    </xf>
    <xf numFmtId="38" fontId="15" fillId="0" borderId="34" xfId="50" applyFont="1" applyFill="1" applyBorder="1" applyAlignment="1" applyProtection="1">
      <alignment horizontal="center" vertical="center"/>
      <protection/>
    </xf>
    <xf numFmtId="38" fontId="15" fillId="0" borderId="31" xfId="50" applyFont="1" applyFill="1" applyBorder="1" applyAlignment="1" applyProtection="1">
      <alignment horizontal="center" vertical="center"/>
      <protection/>
    </xf>
    <xf numFmtId="220" fontId="15" fillId="0" borderId="56" xfId="50" applyNumberFormat="1" applyFont="1" applyFill="1" applyBorder="1" applyAlignment="1" applyProtection="1">
      <alignment vertical="center" shrinkToFit="1"/>
      <protection/>
    </xf>
    <xf numFmtId="220" fontId="15" fillId="0" borderId="14" xfId="50" applyNumberFormat="1" applyFont="1" applyFill="1" applyBorder="1" applyAlignment="1" applyProtection="1">
      <alignment vertical="center" shrinkToFit="1"/>
      <protection/>
    </xf>
    <xf numFmtId="221" fontId="15" fillId="0" borderId="56" xfId="50" applyNumberFormat="1" applyFont="1" applyFill="1" applyBorder="1" applyAlignment="1" applyProtection="1">
      <alignment vertical="center" shrinkToFit="1"/>
      <protection/>
    </xf>
    <xf numFmtId="221" fontId="15" fillId="0" borderId="14" xfId="50" applyNumberFormat="1" applyFont="1" applyFill="1" applyBorder="1" applyAlignment="1" applyProtection="1">
      <alignment vertical="center" shrinkToFit="1"/>
      <protection/>
    </xf>
    <xf numFmtId="222" fontId="15" fillId="0" borderId="40" xfId="50" applyNumberFormat="1" applyFont="1" applyFill="1" applyBorder="1" applyAlignment="1" applyProtection="1">
      <alignment vertical="center" shrinkToFit="1"/>
      <protection/>
    </xf>
    <xf numFmtId="222" fontId="15" fillId="0" borderId="43" xfId="50" applyNumberFormat="1" applyFont="1" applyFill="1" applyBorder="1" applyAlignment="1" applyProtection="1">
      <alignment vertical="center" shrinkToFit="1"/>
      <protection/>
    </xf>
    <xf numFmtId="220" fontId="15" fillId="0" borderId="49" xfId="50" applyNumberFormat="1" applyFont="1" applyFill="1" applyBorder="1" applyAlignment="1" applyProtection="1">
      <alignment horizontal="center" vertical="center" shrinkToFit="1"/>
      <protection/>
    </xf>
    <xf numFmtId="220" fontId="15" fillId="0" borderId="37" xfId="50" applyNumberFormat="1" applyFont="1" applyFill="1" applyBorder="1" applyAlignment="1" applyProtection="1">
      <alignment horizontal="center" vertical="center" shrinkToFit="1"/>
      <protection/>
    </xf>
    <xf numFmtId="38" fontId="15" fillId="0" borderId="159" xfId="50" applyFont="1" applyFill="1" applyBorder="1" applyAlignment="1" applyProtection="1">
      <alignment horizontal="center" vertical="center" wrapText="1"/>
      <protection/>
    </xf>
    <xf numFmtId="38" fontId="15" fillId="0" borderId="65" xfId="50" applyFont="1" applyFill="1" applyBorder="1" applyAlignment="1" applyProtection="1">
      <alignment horizontal="center" vertical="center" wrapText="1"/>
      <protection/>
    </xf>
    <xf numFmtId="38" fontId="15" fillId="0" borderId="102" xfId="50" applyFont="1" applyFill="1" applyBorder="1" applyAlignment="1" applyProtection="1">
      <alignment horizontal="center" vertical="center" wrapText="1"/>
      <protection/>
    </xf>
    <xf numFmtId="38" fontId="15" fillId="0" borderId="45" xfId="50" applyFont="1" applyFill="1" applyBorder="1" applyAlignment="1" applyProtection="1">
      <alignment horizontal="distributed" vertical="center"/>
      <protection/>
    </xf>
    <xf numFmtId="38" fontId="15" fillId="0" borderId="26" xfId="50" applyFont="1" applyFill="1" applyBorder="1" applyAlignment="1" applyProtection="1">
      <alignment horizontal="distributed" vertical="center"/>
      <protection/>
    </xf>
    <xf numFmtId="220" fontId="15" fillId="0" borderId="32" xfId="50" applyNumberFormat="1" applyFont="1" applyFill="1" applyBorder="1" applyAlignment="1" applyProtection="1">
      <alignment vertical="center" shrinkToFit="1"/>
      <protection/>
    </xf>
    <xf numFmtId="220" fontId="15" fillId="0" borderId="21" xfId="50" applyNumberFormat="1" applyFont="1" applyFill="1" applyBorder="1" applyAlignment="1" applyProtection="1">
      <alignment vertical="center" shrinkToFit="1"/>
      <protection/>
    </xf>
    <xf numFmtId="220" fontId="15" fillId="0" borderId="69" xfId="50" applyNumberFormat="1" applyFont="1" applyFill="1" applyBorder="1" applyAlignment="1" applyProtection="1">
      <alignment vertical="center" shrinkToFit="1"/>
      <protection/>
    </xf>
    <xf numFmtId="221" fontId="15" fillId="0" borderId="21" xfId="50" applyNumberFormat="1" applyFont="1" applyFill="1" applyBorder="1" applyAlignment="1" applyProtection="1">
      <alignment vertical="center" shrinkToFit="1"/>
      <protection/>
    </xf>
    <xf numFmtId="222" fontId="15" fillId="0" borderId="147" xfId="50" applyNumberFormat="1" applyFont="1" applyFill="1" applyBorder="1" applyAlignment="1" applyProtection="1">
      <alignment vertical="center" shrinkToFit="1"/>
      <protection/>
    </xf>
    <xf numFmtId="222" fontId="15" fillId="0" borderId="99" xfId="50" applyNumberFormat="1" applyFont="1" applyFill="1" applyBorder="1" applyAlignment="1" applyProtection="1">
      <alignment vertical="center" shrinkToFit="1"/>
      <protection/>
    </xf>
    <xf numFmtId="220" fontId="15" fillId="0" borderId="66" xfId="50" applyNumberFormat="1" applyFont="1" applyFill="1" applyBorder="1" applyAlignment="1" applyProtection="1">
      <alignment horizontal="center" vertical="center" shrinkToFit="1"/>
      <protection/>
    </xf>
    <xf numFmtId="220" fontId="15" fillId="0" borderId="46" xfId="50" applyNumberFormat="1" applyFont="1" applyFill="1" applyBorder="1" applyAlignment="1" applyProtection="1">
      <alignment horizontal="center" vertical="center" shrinkToFit="1"/>
      <protection/>
    </xf>
    <xf numFmtId="38" fontId="15" fillId="0" borderId="28" xfId="50" applyFont="1" applyFill="1" applyBorder="1" applyAlignment="1" applyProtection="1">
      <alignment horizontal="distributed" vertical="center"/>
      <protection/>
    </xf>
    <xf numFmtId="38" fontId="15" fillId="0" borderId="76" xfId="50" applyFont="1" applyFill="1" applyBorder="1" applyAlignment="1" applyProtection="1">
      <alignment horizontal="distributed" vertical="center"/>
      <protection/>
    </xf>
    <xf numFmtId="220" fontId="15" fillId="0" borderId="22" xfId="50" applyNumberFormat="1" applyFont="1" applyFill="1" applyBorder="1" applyAlignment="1" applyProtection="1">
      <alignment vertical="center" shrinkToFit="1"/>
      <protection/>
    </xf>
    <xf numFmtId="220" fontId="15" fillId="0" borderId="35" xfId="50" applyNumberFormat="1" applyFont="1" applyFill="1" applyBorder="1" applyAlignment="1" applyProtection="1">
      <alignment horizontal="center" vertical="center" shrinkToFit="1"/>
      <protection/>
    </xf>
    <xf numFmtId="220" fontId="15" fillId="0" borderId="29" xfId="50" applyNumberFormat="1" applyFont="1" applyFill="1" applyBorder="1" applyAlignment="1" applyProtection="1">
      <alignment vertical="center" shrinkToFit="1"/>
      <protection/>
    </xf>
    <xf numFmtId="221" fontId="15" fillId="0" borderId="22" xfId="50" applyNumberFormat="1" applyFont="1" applyFill="1" applyBorder="1" applyAlignment="1" applyProtection="1">
      <alignment vertical="center" shrinkToFit="1"/>
      <protection/>
    </xf>
    <xf numFmtId="222" fontId="15" fillId="0" borderId="80" xfId="50" applyNumberFormat="1" applyFont="1" applyFill="1" applyBorder="1" applyAlignment="1" applyProtection="1">
      <alignment vertical="center" shrinkToFit="1"/>
      <protection/>
    </xf>
    <xf numFmtId="38" fontId="15" fillId="0" borderId="115" xfId="50" applyFont="1" applyFill="1" applyBorder="1" applyAlignment="1" applyProtection="1">
      <alignment horizontal="distributed" vertical="center"/>
      <protection/>
    </xf>
    <xf numFmtId="38" fontId="15" fillId="0" borderId="132" xfId="50" applyFont="1" applyFill="1" applyBorder="1" applyAlignment="1" applyProtection="1">
      <alignment horizontal="distributed" vertical="center"/>
      <protection/>
    </xf>
    <xf numFmtId="220" fontId="15" fillId="0" borderId="113" xfId="50" applyNumberFormat="1" applyFont="1" applyFill="1" applyBorder="1" applyAlignment="1" applyProtection="1">
      <alignment vertical="center" shrinkToFit="1"/>
      <protection/>
    </xf>
    <xf numFmtId="220" fontId="15" fillId="0" borderId="122" xfId="50" applyNumberFormat="1" applyFont="1" applyFill="1" applyBorder="1" applyAlignment="1" applyProtection="1">
      <alignment vertical="center" shrinkToFit="1"/>
      <protection/>
    </xf>
    <xf numFmtId="221" fontId="15" fillId="0" borderId="113" xfId="50" applyNumberFormat="1" applyFont="1" applyFill="1" applyBorder="1" applyAlignment="1" applyProtection="1">
      <alignment vertical="center" shrinkToFit="1"/>
      <protection/>
    </xf>
    <xf numFmtId="222" fontId="15" fillId="0" borderId="125" xfId="50" applyNumberFormat="1" applyFont="1" applyFill="1" applyBorder="1" applyAlignment="1" applyProtection="1">
      <alignment vertical="center" shrinkToFit="1"/>
      <protection/>
    </xf>
    <xf numFmtId="220" fontId="15" fillId="0" borderId="114" xfId="50" applyNumberFormat="1" applyFont="1" applyFill="1" applyBorder="1" applyAlignment="1" applyProtection="1">
      <alignment horizontal="center" vertical="center" shrinkToFit="1"/>
      <protection/>
    </xf>
    <xf numFmtId="38" fontId="15" fillId="0" borderId="45" xfId="50" applyFont="1" applyFill="1" applyBorder="1" applyAlignment="1" applyProtection="1">
      <alignment horizontal="center" vertical="center"/>
      <protection/>
    </xf>
    <xf numFmtId="38" fontId="15" fillId="0" borderId="26" xfId="50" applyFont="1" applyFill="1" applyBorder="1" applyAlignment="1" applyProtection="1">
      <alignment horizontal="center" vertical="center"/>
      <protection/>
    </xf>
    <xf numFmtId="220" fontId="15" fillId="0" borderId="13" xfId="50" applyNumberFormat="1" applyFont="1" applyFill="1" applyBorder="1" applyAlignment="1" applyProtection="1">
      <alignment vertical="center" shrinkToFit="1"/>
      <protection/>
    </xf>
    <xf numFmtId="221" fontId="15" fillId="0" borderId="69" xfId="50" applyNumberFormat="1" applyFont="1" applyFill="1" applyBorder="1" applyAlignment="1" applyProtection="1">
      <alignment vertical="center" shrinkToFit="1"/>
      <protection/>
    </xf>
    <xf numFmtId="221" fontId="15" fillId="0" borderId="13" xfId="50" applyNumberFormat="1" applyFont="1" applyFill="1" applyBorder="1" applyAlignment="1" applyProtection="1">
      <alignment vertical="center" shrinkToFit="1"/>
      <protection/>
    </xf>
    <xf numFmtId="222" fontId="15" fillId="0" borderId="81" xfId="50" applyNumberFormat="1" applyFont="1" applyFill="1" applyBorder="1" applyAlignment="1" applyProtection="1">
      <alignment vertical="center" shrinkToFit="1"/>
      <protection/>
    </xf>
    <xf numFmtId="222" fontId="15" fillId="0" borderId="20" xfId="50" applyNumberFormat="1" applyFont="1" applyFill="1" applyBorder="1" applyAlignment="1" applyProtection="1">
      <alignment vertical="center" shrinkToFit="1"/>
      <protection/>
    </xf>
    <xf numFmtId="220" fontId="15" fillId="0" borderId="68" xfId="50" applyNumberFormat="1" applyFont="1" applyFill="1" applyBorder="1" applyAlignment="1" applyProtection="1">
      <alignment horizontal="center" vertical="center" shrinkToFit="1"/>
      <protection/>
    </xf>
    <xf numFmtId="220" fontId="15" fillId="0" borderId="24" xfId="50" applyNumberFormat="1" applyFont="1" applyFill="1" applyBorder="1" applyAlignment="1" applyProtection="1">
      <alignment horizontal="center" vertical="center" shrinkToFit="1"/>
      <protection/>
    </xf>
    <xf numFmtId="221" fontId="15" fillId="0" borderId="32" xfId="50" applyNumberFormat="1" applyFont="1" applyFill="1" applyBorder="1" applyAlignment="1" applyProtection="1">
      <alignment vertical="center" shrinkToFit="1"/>
      <protection/>
    </xf>
    <xf numFmtId="38" fontId="15" fillId="0" borderId="23" xfId="50" applyFont="1" applyFill="1" applyBorder="1" applyAlignment="1" applyProtection="1">
      <alignment horizontal="distributed" vertical="center" wrapText="1"/>
      <protection/>
    </xf>
    <xf numFmtId="38" fontId="15" fillId="0" borderId="121" xfId="50" applyFont="1" applyFill="1" applyBorder="1" applyAlignment="1" applyProtection="1">
      <alignment horizontal="distributed" vertical="center"/>
      <protection/>
    </xf>
    <xf numFmtId="38" fontId="15" fillId="0" borderId="120" xfId="50" applyFont="1" applyFill="1" applyBorder="1" applyAlignment="1" applyProtection="1">
      <alignment horizontal="distributed" vertical="center"/>
      <protection/>
    </xf>
    <xf numFmtId="38" fontId="15" fillId="0" borderId="52" xfId="50" applyFont="1" applyFill="1" applyBorder="1" applyAlignment="1" applyProtection="1">
      <alignment horizontal="center" vertical="center"/>
      <protection/>
    </xf>
    <xf numFmtId="38" fontId="15" fillId="0" borderId="51" xfId="50" applyFont="1" applyFill="1" applyBorder="1" applyAlignment="1" applyProtection="1">
      <alignment horizontal="distributed" vertical="center" wrapText="1"/>
      <protection/>
    </xf>
    <xf numFmtId="220" fontId="15" fillId="0" borderId="119" xfId="50" applyNumberFormat="1" applyFont="1" applyFill="1" applyBorder="1" applyAlignment="1" applyProtection="1">
      <alignment horizontal="center" vertical="center" shrinkToFit="1"/>
      <protection/>
    </xf>
    <xf numFmtId="220" fontId="15" fillId="0" borderId="55" xfId="50" applyNumberFormat="1" applyFont="1" applyFill="1" applyBorder="1" applyAlignment="1" applyProtection="1">
      <alignment horizontal="center" vertical="center" shrinkToFit="1"/>
      <protection/>
    </xf>
    <xf numFmtId="38" fontId="13" fillId="0" borderId="159" xfId="50" applyFont="1" applyFill="1" applyBorder="1" applyAlignment="1" applyProtection="1">
      <alignment horizontal="center" vertical="center" textRotation="255"/>
      <protection/>
    </xf>
    <xf numFmtId="38" fontId="13" fillId="0" borderId="65" xfId="50" applyFont="1" applyFill="1" applyBorder="1" applyAlignment="1" applyProtection="1">
      <alignment horizontal="center" vertical="center" textRotation="255"/>
      <protection/>
    </xf>
    <xf numFmtId="38" fontId="13" fillId="0" borderId="102" xfId="50" applyFont="1" applyFill="1" applyBorder="1" applyAlignment="1" applyProtection="1">
      <alignment horizontal="center" vertical="center" textRotation="255"/>
      <protection/>
    </xf>
    <xf numFmtId="0" fontId="13" fillId="0" borderId="58" xfId="0" applyFont="1" applyFill="1" applyBorder="1" applyAlignment="1">
      <alignment horizontal="distributed" vertical="center"/>
    </xf>
    <xf numFmtId="0" fontId="13" fillId="0" borderId="69" xfId="0" applyFont="1" applyFill="1" applyBorder="1" applyAlignment="1">
      <alignment horizontal="distributed" vertical="center"/>
    </xf>
    <xf numFmtId="0" fontId="13" fillId="0" borderId="65" xfId="0" applyFont="1" applyFill="1" applyBorder="1" applyAlignment="1">
      <alignment horizontal="center" vertical="center" textRotation="255"/>
    </xf>
    <xf numFmtId="0" fontId="82" fillId="0" borderId="65" xfId="0" applyFont="1" applyFill="1" applyBorder="1" applyAlignment="1">
      <alignment horizontal="center" vertical="center" textRotation="255"/>
    </xf>
    <xf numFmtId="0" fontId="13" fillId="0" borderId="102" xfId="0" applyFont="1" applyFill="1" applyBorder="1" applyAlignment="1">
      <alignment horizontal="center" vertical="center" textRotation="255"/>
    </xf>
    <xf numFmtId="38" fontId="15" fillId="0" borderId="88" xfId="50" applyFont="1" applyFill="1" applyBorder="1" applyAlignment="1" applyProtection="1">
      <alignment horizontal="center" vertical="center"/>
      <protection/>
    </xf>
    <xf numFmtId="0" fontId="0" fillId="0" borderId="9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159" xfId="0" applyFont="1" applyFill="1" applyBorder="1" applyAlignment="1">
      <alignment horizontal="center" vertical="center" textRotation="255"/>
    </xf>
    <xf numFmtId="0" fontId="13" fillId="0" borderId="84" xfId="0" applyFont="1" applyFill="1" applyBorder="1" applyAlignment="1">
      <alignment horizontal="distributed" vertical="center"/>
    </xf>
    <xf numFmtId="38" fontId="13" fillId="0" borderId="121" xfId="50" applyFont="1" applyFill="1" applyBorder="1" applyAlignment="1">
      <alignment horizontal="distributed" vertical="center"/>
    </xf>
    <xf numFmtId="38" fontId="13" fillId="0" borderId="120" xfId="50" applyFont="1" applyFill="1" applyBorder="1" applyAlignment="1">
      <alignment horizontal="distributed" vertical="center"/>
    </xf>
    <xf numFmtId="179" fontId="13" fillId="0" borderId="23" xfId="0" applyNumberFormat="1" applyFont="1" applyFill="1" applyBorder="1" applyAlignment="1">
      <alignment horizontal="center" vertical="center"/>
    </xf>
    <xf numFmtId="179" fontId="13" fillId="0" borderId="92" xfId="0" applyNumberFormat="1" applyFont="1" applyFill="1" applyBorder="1" applyAlignment="1">
      <alignment horizontal="center" vertical="center"/>
    </xf>
    <xf numFmtId="179" fontId="13" fillId="0" borderId="108" xfId="0" applyNumberFormat="1" applyFont="1" applyFill="1" applyBorder="1" applyAlignment="1">
      <alignment horizontal="center" vertical="center"/>
    </xf>
    <xf numFmtId="38" fontId="15" fillId="0" borderId="148" xfId="50" applyFont="1" applyFill="1" applyBorder="1" applyAlignment="1" applyProtection="1">
      <alignment horizontal="left" vertical="center" wrapText="1"/>
      <protection/>
    </xf>
    <xf numFmtId="0" fontId="13" fillId="0" borderId="151" xfId="0" applyFont="1" applyFill="1" applyBorder="1" applyAlignment="1">
      <alignment vertical="center" wrapText="1"/>
    </xf>
    <xf numFmtId="0" fontId="13" fillId="0" borderId="152" xfId="0" applyFont="1" applyFill="1" applyBorder="1" applyAlignment="1">
      <alignment vertical="center" wrapText="1"/>
    </xf>
    <xf numFmtId="0" fontId="13" fillId="0" borderId="153" xfId="0" applyFont="1" applyFill="1" applyBorder="1" applyAlignment="1">
      <alignment vertical="center" wrapText="1"/>
    </xf>
    <xf numFmtId="179" fontId="13" fillId="0" borderId="58" xfId="0" applyNumberFormat="1" applyFont="1" applyFill="1" applyBorder="1" applyAlignment="1">
      <alignment horizontal="distributed" vertical="center" indent="5"/>
    </xf>
    <xf numFmtId="179" fontId="13" fillId="0" borderId="32" xfId="0" applyNumberFormat="1" applyFont="1" applyFill="1" applyBorder="1" applyAlignment="1">
      <alignment horizontal="distributed" vertical="center" indent="5"/>
    </xf>
    <xf numFmtId="179" fontId="13" fillId="0" borderId="66" xfId="0" applyNumberFormat="1" applyFont="1" applyFill="1" applyBorder="1" applyAlignment="1">
      <alignment horizontal="distributed" vertical="center" indent="5"/>
    </xf>
    <xf numFmtId="179" fontId="13" fillId="0" borderId="76" xfId="0" applyNumberFormat="1" applyFont="1" applyFill="1" applyBorder="1" applyAlignment="1">
      <alignment horizontal="center" vertical="center"/>
    </xf>
    <xf numFmtId="179" fontId="13" fillId="0" borderId="30" xfId="0" applyNumberFormat="1" applyFont="1" applyFill="1" applyBorder="1" applyAlignment="1">
      <alignment horizontal="center" vertical="center"/>
    </xf>
    <xf numFmtId="179" fontId="13" fillId="0" borderId="21" xfId="0" applyNumberFormat="1" applyFont="1" applyFill="1" applyBorder="1" applyAlignment="1">
      <alignment horizontal="center" vertical="center"/>
    </xf>
    <xf numFmtId="0" fontId="14" fillId="0" borderId="159" xfId="0" applyFont="1" applyFill="1" applyBorder="1" applyAlignment="1">
      <alignment horizontal="center" vertical="center" textRotation="255" wrapText="1"/>
    </xf>
    <xf numFmtId="0" fontId="14" fillId="0" borderId="65" xfId="0" applyFont="1" applyFill="1" applyBorder="1" applyAlignment="1">
      <alignment horizontal="center" vertical="center" textRotation="255" wrapText="1"/>
    </xf>
    <xf numFmtId="0" fontId="14" fillId="0" borderId="102" xfId="0" applyFont="1" applyFill="1" applyBorder="1" applyAlignment="1">
      <alignment horizontal="center" vertical="center" textRotation="255" wrapText="1"/>
    </xf>
    <xf numFmtId="0" fontId="14" fillId="0" borderId="159" xfId="0" applyFont="1" applyFill="1" applyBorder="1" applyAlignment="1">
      <alignment horizontal="center" vertical="center" textRotation="255"/>
    </xf>
    <xf numFmtId="0" fontId="14" fillId="0" borderId="65" xfId="0" applyFont="1" applyFill="1" applyBorder="1" applyAlignment="1">
      <alignment horizontal="center" vertical="center" textRotation="255"/>
    </xf>
    <xf numFmtId="0" fontId="85" fillId="0" borderId="65" xfId="0" applyFont="1" applyFill="1" applyBorder="1" applyAlignment="1">
      <alignment horizontal="center" vertical="center" textRotation="255"/>
    </xf>
    <xf numFmtId="0" fontId="14" fillId="0" borderId="102" xfId="0" applyFont="1" applyFill="1" applyBorder="1" applyAlignment="1">
      <alignment horizontal="center" vertical="center" textRotation="255"/>
    </xf>
    <xf numFmtId="0" fontId="14" fillId="0" borderId="21" xfId="0" applyNumberFormat="1" applyFont="1" applyFill="1" applyBorder="1" applyAlignment="1">
      <alignment horizontal="center" vertical="center" shrinkToFit="1"/>
    </xf>
    <xf numFmtId="0" fontId="14" fillId="0" borderId="13" xfId="0" applyNumberFormat="1" applyFont="1" applyFill="1" applyBorder="1" applyAlignment="1">
      <alignment horizontal="center" vertical="center" shrinkToFit="1"/>
    </xf>
    <xf numFmtId="0" fontId="14" fillId="0" borderId="23" xfId="0" applyNumberFormat="1" applyFont="1" applyFill="1" applyBorder="1" applyAlignment="1">
      <alignment horizontal="center" vertical="center" shrinkToFit="1"/>
    </xf>
    <xf numFmtId="0" fontId="14" fillId="0" borderId="35" xfId="0" applyNumberFormat="1" applyFont="1" applyFill="1" applyBorder="1" applyAlignment="1">
      <alignment horizontal="center" vertical="center" shrinkToFit="1"/>
    </xf>
    <xf numFmtId="0" fontId="14" fillId="0" borderId="143" xfId="0" applyFont="1" applyFill="1" applyBorder="1" applyAlignment="1">
      <alignment vertical="top" wrapText="1"/>
    </xf>
    <xf numFmtId="0" fontId="14" fillId="0" borderId="168" xfId="0" applyFont="1" applyFill="1" applyBorder="1" applyAlignment="1">
      <alignment vertical="top" wrapText="1"/>
    </xf>
    <xf numFmtId="0" fontId="14" fillId="0" borderId="169" xfId="0" applyFont="1" applyFill="1" applyBorder="1" applyAlignment="1">
      <alignment vertical="top" wrapText="1"/>
    </xf>
    <xf numFmtId="0" fontId="14" fillId="0" borderId="170" xfId="0" applyFont="1" applyFill="1" applyBorder="1" applyAlignment="1">
      <alignment vertical="top" wrapText="1"/>
    </xf>
    <xf numFmtId="0" fontId="14" fillId="0" borderId="164" xfId="0" applyFont="1" applyFill="1" applyBorder="1" applyAlignment="1">
      <alignment vertical="top" wrapText="1"/>
    </xf>
    <xf numFmtId="0" fontId="14" fillId="0" borderId="171" xfId="0" applyFont="1" applyFill="1" applyBorder="1" applyAlignment="1">
      <alignment vertical="top" wrapText="1"/>
    </xf>
    <xf numFmtId="0" fontId="14" fillId="0" borderId="140" xfId="0" applyFont="1" applyFill="1" applyBorder="1" applyAlignment="1">
      <alignment horizontal="distributed" vertical="center" indent="3" shrinkToFit="1"/>
    </xf>
    <xf numFmtId="0" fontId="14" fillId="0" borderId="57" xfId="0" applyFont="1" applyFill="1" applyBorder="1" applyAlignment="1">
      <alignment horizontal="distributed" vertical="center" indent="3" shrinkToFit="1"/>
    </xf>
    <xf numFmtId="0" fontId="14" fillId="0" borderId="141" xfId="0" applyFont="1" applyFill="1" applyBorder="1" applyAlignment="1">
      <alignment horizontal="distributed" vertical="center" indent="3" shrinkToFit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6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3" fillId="0" borderId="159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179" fontId="13" fillId="0" borderId="7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88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148" xfId="0" applyFont="1" applyFill="1" applyBorder="1" applyAlignment="1">
      <alignment vertical="top" wrapText="1"/>
    </xf>
    <xf numFmtId="0" fontId="13" fillId="0" borderId="149" xfId="0" applyFont="1" applyFill="1" applyBorder="1" applyAlignment="1">
      <alignment vertical="top" wrapText="1"/>
    </xf>
    <xf numFmtId="0" fontId="13" fillId="0" borderId="151" xfId="0" applyFont="1" applyFill="1" applyBorder="1" applyAlignment="1">
      <alignment vertical="top" wrapText="1"/>
    </xf>
    <xf numFmtId="0" fontId="13" fillId="0" borderId="152" xfId="0" applyFont="1" applyFill="1" applyBorder="1" applyAlignment="1">
      <alignment vertical="top" wrapText="1"/>
    </xf>
    <xf numFmtId="0" fontId="13" fillId="0" borderId="154" xfId="0" applyFont="1" applyFill="1" applyBorder="1" applyAlignment="1">
      <alignment vertical="top" wrapText="1"/>
    </xf>
    <xf numFmtId="0" fontId="13" fillId="0" borderId="155" xfId="0" applyFont="1" applyFill="1" applyBorder="1" applyAlignment="1">
      <alignment vertical="top" wrapText="1"/>
    </xf>
    <xf numFmtId="0" fontId="13" fillId="0" borderId="140" xfId="0" applyFont="1" applyFill="1" applyBorder="1" applyAlignment="1">
      <alignment horizontal="distributed" vertical="center" indent="6" shrinkToFit="1"/>
    </xf>
    <xf numFmtId="0" fontId="13" fillId="0" borderId="57" xfId="0" applyFont="1" applyFill="1" applyBorder="1" applyAlignment="1">
      <alignment horizontal="distributed" vertical="center" indent="6" shrinkToFit="1"/>
    </xf>
    <xf numFmtId="0" fontId="13" fillId="0" borderId="141" xfId="0" applyFont="1" applyFill="1" applyBorder="1" applyAlignment="1">
      <alignment horizontal="distributed" vertical="center" indent="6" shrinkToFit="1"/>
    </xf>
    <xf numFmtId="0" fontId="13" fillId="0" borderId="90" xfId="0" applyFont="1" applyFill="1" applyBorder="1" applyAlignment="1">
      <alignment horizontal="distributed" vertical="center" shrinkToFit="1"/>
    </xf>
    <xf numFmtId="0" fontId="13" fillId="0" borderId="92" xfId="0" applyFont="1" applyFill="1" applyBorder="1" applyAlignment="1">
      <alignment horizontal="distributed" vertical="center" shrinkToFit="1"/>
    </xf>
    <xf numFmtId="0" fontId="13" fillId="0" borderId="108" xfId="0" applyFont="1" applyFill="1" applyBorder="1" applyAlignment="1">
      <alignment horizontal="distributed" vertical="center" shrinkToFit="1"/>
    </xf>
    <xf numFmtId="0" fontId="15" fillId="0" borderId="61" xfId="0" applyFont="1" applyFill="1" applyBorder="1" applyAlignment="1">
      <alignment horizontal="center" vertical="center" wrapText="1" shrinkToFit="1"/>
    </xf>
    <xf numFmtId="0" fontId="15" fillId="0" borderId="102" xfId="0" applyFont="1" applyFill="1" applyBorder="1" applyAlignment="1">
      <alignment horizontal="center" vertical="center" wrapText="1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92" xfId="0" applyFont="1" applyFill="1" applyBorder="1" applyAlignment="1">
      <alignment horizontal="center" vertical="center" shrinkToFit="1"/>
    </xf>
    <xf numFmtId="0" fontId="13" fillId="0" borderId="70" xfId="0" applyFont="1" applyFill="1" applyBorder="1" applyAlignment="1">
      <alignment horizontal="center" vertical="center" shrinkToFit="1"/>
    </xf>
    <xf numFmtId="38" fontId="82" fillId="0" borderId="41" xfId="50" applyFont="1" applyFill="1" applyBorder="1" applyAlignment="1" applyProtection="1">
      <alignment horizontal="center" vertical="center"/>
      <protection/>
    </xf>
    <xf numFmtId="38" fontId="82" fillId="0" borderId="30" xfId="50" applyFont="1" applyFill="1" applyBorder="1" applyAlignment="1" applyProtection="1">
      <alignment horizontal="center" vertical="center"/>
      <protection/>
    </xf>
    <xf numFmtId="38" fontId="82" fillId="0" borderId="51" xfId="50" applyFont="1" applyFill="1" applyBorder="1" applyAlignment="1" applyProtection="1">
      <alignment horizontal="distributed" vertical="center" indent="6"/>
      <protection/>
    </xf>
    <xf numFmtId="38" fontId="82" fillId="0" borderId="57" xfId="50" applyFont="1" applyFill="1" applyBorder="1" applyAlignment="1" applyProtection="1">
      <alignment horizontal="distributed" vertical="center" indent="6"/>
      <protection/>
    </xf>
    <xf numFmtId="38" fontId="82" fillId="0" borderId="58" xfId="50" applyFont="1" applyFill="1" applyBorder="1" applyAlignment="1" applyProtection="1">
      <alignment horizontal="distributed" vertical="center" indent="6"/>
      <protection/>
    </xf>
    <xf numFmtId="38" fontId="82" fillId="0" borderId="22" xfId="50" applyFont="1" applyFill="1" applyBorder="1" applyAlignment="1" applyProtection="1">
      <alignment horizontal="center" vertical="center" wrapText="1"/>
      <protection/>
    </xf>
    <xf numFmtId="38" fontId="82" fillId="0" borderId="29" xfId="50" applyFont="1" applyFill="1" applyBorder="1" applyAlignment="1" applyProtection="1">
      <alignment horizontal="center" vertical="center"/>
      <protection/>
    </xf>
    <xf numFmtId="38" fontId="82" fillId="0" borderId="14" xfId="50" applyFont="1" applyFill="1" applyBorder="1" applyAlignment="1" applyProtection="1">
      <alignment horizontal="center" vertical="center" wrapText="1"/>
      <protection/>
    </xf>
    <xf numFmtId="38" fontId="82" fillId="0" borderId="21" xfId="50" applyFont="1" applyFill="1" applyBorder="1" applyAlignment="1" applyProtection="1">
      <alignment horizontal="center" vertical="center"/>
      <protection/>
    </xf>
    <xf numFmtId="38" fontId="82" fillId="0" borderId="22" xfId="50" applyFont="1" applyFill="1" applyBorder="1" applyAlignment="1" applyProtection="1">
      <alignment horizontal="center" vertical="center"/>
      <protection/>
    </xf>
    <xf numFmtId="38" fontId="82" fillId="0" borderId="23" xfId="50" applyFont="1" applyFill="1" applyBorder="1" applyAlignment="1" applyProtection="1">
      <alignment horizontal="center" vertical="center"/>
      <protection/>
    </xf>
    <xf numFmtId="38" fontId="82" fillId="0" borderId="92" xfId="50" applyFont="1" applyFill="1" applyBorder="1" applyAlignment="1" applyProtection="1">
      <alignment horizontal="center" vertical="center"/>
      <protection/>
    </xf>
    <xf numFmtId="38" fontId="82" fillId="0" borderId="70" xfId="50" applyFont="1" applyFill="1" applyBorder="1" applyAlignment="1" applyProtection="1">
      <alignment horizontal="center" vertical="center"/>
      <protection/>
    </xf>
    <xf numFmtId="38" fontId="82" fillId="0" borderId="88" xfId="50" applyFont="1" applyFill="1" applyBorder="1" applyAlignment="1" applyProtection="1">
      <alignment horizontal="center" vertical="center"/>
      <protection/>
    </xf>
    <xf numFmtId="38" fontId="82" fillId="0" borderId="91" xfId="50" applyFont="1" applyFill="1" applyBorder="1" applyAlignment="1" applyProtection="1">
      <alignment horizontal="center" vertical="center"/>
      <protection/>
    </xf>
    <xf numFmtId="38" fontId="82" fillId="0" borderId="54" xfId="50" applyFont="1" applyFill="1" applyBorder="1" applyAlignment="1" applyProtection="1">
      <alignment horizontal="center" vertical="center"/>
      <protection/>
    </xf>
    <xf numFmtId="38" fontId="82" fillId="0" borderId="159" xfId="50" applyFont="1" applyFill="1" applyBorder="1" applyAlignment="1" applyProtection="1">
      <alignment horizontal="center" vertical="center" textRotation="255" wrapText="1"/>
      <protection/>
    </xf>
    <xf numFmtId="38" fontId="82" fillId="0" borderId="65" xfId="50" applyFont="1" applyFill="1" applyBorder="1" applyAlignment="1" applyProtection="1">
      <alignment horizontal="center" vertical="center" textRotation="255" wrapText="1"/>
      <protection/>
    </xf>
    <xf numFmtId="38" fontId="82" fillId="0" borderId="102" xfId="50" applyFont="1" applyFill="1" applyBorder="1" applyAlignment="1" applyProtection="1">
      <alignment horizontal="center" vertical="center" textRotation="255" wrapText="1"/>
      <protection/>
    </xf>
    <xf numFmtId="38" fontId="82" fillId="0" borderId="148" xfId="50" applyFont="1" applyFill="1" applyBorder="1" applyAlignment="1" applyProtection="1">
      <alignment vertical="center" wrapText="1"/>
      <protection/>
    </xf>
    <xf numFmtId="0" fontId="82" fillId="0" borderId="149" xfId="0" applyFont="1" applyFill="1" applyBorder="1" applyAlignment="1">
      <alignment vertical="center"/>
    </xf>
    <xf numFmtId="0" fontId="82" fillId="0" borderId="150" xfId="0" applyFont="1" applyFill="1" applyBorder="1" applyAlignment="1">
      <alignment vertical="center"/>
    </xf>
    <xf numFmtId="0" fontId="82" fillId="0" borderId="151" xfId="0" applyFont="1" applyFill="1" applyBorder="1" applyAlignment="1">
      <alignment vertical="center"/>
    </xf>
    <xf numFmtId="0" fontId="82" fillId="0" borderId="152" xfId="0" applyFont="1" applyFill="1" applyBorder="1" applyAlignment="1">
      <alignment vertical="center"/>
    </xf>
    <xf numFmtId="0" fontId="82" fillId="0" borderId="153" xfId="0" applyFont="1" applyFill="1" applyBorder="1" applyAlignment="1">
      <alignment vertical="center"/>
    </xf>
    <xf numFmtId="0" fontId="82" fillId="0" borderId="154" xfId="0" applyFont="1" applyFill="1" applyBorder="1" applyAlignment="1">
      <alignment vertical="center"/>
    </xf>
    <xf numFmtId="0" fontId="82" fillId="0" borderId="155" xfId="0" applyFont="1" applyFill="1" applyBorder="1" applyAlignment="1">
      <alignment vertical="center"/>
    </xf>
    <xf numFmtId="0" fontId="82" fillId="0" borderId="156" xfId="0" applyFont="1" applyFill="1" applyBorder="1" applyAlignment="1">
      <alignment vertical="center"/>
    </xf>
    <xf numFmtId="0" fontId="82" fillId="0" borderId="102" xfId="0" applyFont="1" applyFill="1" applyBorder="1" applyAlignment="1">
      <alignment horizontal="center" vertical="center" textRotation="255" wrapText="1"/>
    </xf>
    <xf numFmtId="38" fontId="82" fillId="0" borderId="108" xfId="50" applyFont="1" applyFill="1" applyBorder="1" applyAlignment="1" applyProtection="1">
      <alignment horizontal="center" vertical="center"/>
      <protection/>
    </xf>
    <xf numFmtId="38" fontId="82" fillId="0" borderId="23" xfId="50" applyFont="1" applyFill="1" applyBorder="1" applyAlignment="1" applyProtection="1">
      <alignment horizontal="center" vertical="center" wrapText="1"/>
      <protection/>
    </xf>
    <xf numFmtId="38" fontId="82" fillId="0" borderId="92" xfId="50" applyFont="1" applyFill="1" applyBorder="1" applyAlignment="1" applyProtection="1">
      <alignment horizontal="center" vertical="center" wrapText="1"/>
      <protection/>
    </xf>
    <xf numFmtId="38" fontId="82" fillId="0" borderId="70" xfId="50" applyFont="1" applyFill="1" applyBorder="1" applyAlignment="1" applyProtection="1">
      <alignment horizontal="center" vertical="center" wrapText="1"/>
      <protection/>
    </xf>
    <xf numFmtId="38" fontId="5" fillId="0" borderId="11" xfId="50" applyFont="1" applyFill="1" applyBorder="1" applyAlignment="1" applyProtection="1">
      <alignment vertical="center" shrinkToFit="1"/>
      <protection/>
    </xf>
    <xf numFmtId="0" fontId="83" fillId="0" borderId="140" xfId="0" applyFont="1" applyFill="1" applyBorder="1" applyAlignment="1">
      <alignment horizontal="distributed" vertical="center" indent="4" shrinkToFit="1"/>
    </xf>
    <xf numFmtId="0" fontId="83" fillId="0" borderId="57" xfId="0" applyFont="1" applyFill="1" applyBorder="1" applyAlignment="1">
      <alignment horizontal="distributed" vertical="center" indent="4" shrinkToFit="1"/>
    </xf>
    <xf numFmtId="0" fontId="86" fillId="0" borderId="57" xfId="0" applyFont="1" applyFill="1" applyBorder="1" applyAlignment="1">
      <alignment horizontal="distributed" vertical="center" indent="4" shrinkToFit="1"/>
    </xf>
    <xf numFmtId="0" fontId="86" fillId="0" borderId="141" xfId="0" applyFont="1" applyFill="1" applyBorder="1" applyAlignment="1">
      <alignment horizontal="distributed" vertical="center" indent="4" shrinkToFit="1"/>
    </xf>
    <xf numFmtId="0" fontId="83" fillId="0" borderId="23" xfId="0" applyFont="1" applyFill="1" applyBorder="1" applyAlignment="1">
      <alignment horizontal="distributed" vertical="center" indent="4" shrinkToFit="1"/>
    </xf>
    <xf numFmtId="0" fontId="83" fillId="0" borderId="92" xfId="0" applyFont="1" applyFill="1" applyBorder="1" applyAlignment="1">
      <alignment horizontal="distributed" vertical="center" indent="4" shrinkToFit="1"/>
    </xf>
    <xf numFmtId="0" fontId="83" fillId="0" borderId="108" xfId="0" applyFont="1" applyFill="1" applyBorder="1" applyAlignment="1">
      <alignment horizontal="distributed" vertical="center" indent="4" shrinkToFit="1"/>
    </xf>
    <xf numFmtId="0" fontId="83" fillId="0" borderId="90" xfId="0" applyFont="1" applyFill="1" applyBorder="1" applyAlignment="1">
      <alignment horizontal="distributed" vertical="center" indent="4" shrinkToFit="1"/>
    </xf>
    <xf numFmtId="0" fontId="83" fillId="0" borderId="21" xfId="0" applyFont="1" applyFill="1" applyBorder="1" applyAlignment="1">
      <alignment horizontal="center" vertical="center" shrinkToFit="1"/>
    </xf>
    <xf numFmtId="0" fontId="83" fillId="0" borderId="87" xfId="0" applyFont="1" applyFill="1" applyBorder="1" applyAlignment="1">
      <alignment horizontal="center" vertical="center" wrapText="1"/>
    </xf>
    <xf numFmtId="0" fontId="83" fillId="0" borderId="47" xfId="0" applyFont="1" applyFill="1" applyBorder="1" applyAlignment="1">
      <alignment horizontal="center" vertical="center" wrapText="1"/>
    </xf>
    <xf numFmtId="0" fontId="83" fillId="0" borderId="59" xfId="0" applyFont="1" applyFill="1" applyBorder="1" applyAlignment="1">
      <alignment horizontal="center" vertical="center" wrapText="1"/>
    </xf>
    <xf numFmtId="0" fontId="83" fillId="0" borderId="159" xfId="0" applyFont="1" applyFill="1" applyBorder="1" applyAlignment="1">
      <alignment horizontal="center" vertical="center" wrapText="1"/>
    </xf>
    <xf numFmtId="0" fontId="83" fillId="0" borderId="65" xfId="0" applyFont="1" applyFill="1" applyBorder="1" applyAlignment="1">
      <alignment horizontal="center" vertical="center" wrapText="1"/>
    </xf>
    <xf numFmtId="0" fontId="83" fillId="0" borderId="102" xfId="0" applyFont="1" applyFill="1" applyBorder="1" applyAlignment="1">
      <alignment horizontal="center" vertical="center" wrapText="1"/>
    </xf>
    <xf numFmtId="0" fontId="83" fillId="0" borderId="159" xfId="0" applyFont="1" applyFill="1" applyBorder="1" applyAlignment="1">
      <alignment horizontal="center" vertical="center"/>
    </xf>
    <xf numFmtId="0" fontId="83" fillId="0" borderId="38" xfId="0" applyFont="1" applyFill="1" applyBorder="1" applyAlignment="1">
      <alignment horizontal="center" vertical="center"/>
    </xf>
    <xf numFmtId="0" fontId="83" fillId="0" borderId="148" xfId="0" applyFont="1" applyFill="1" applyBorder="1" applyAlignment="1">
      <alignment vertical="top" wrapText="1"/>
    </xf>
    <xf numFmtId="0" fontId="83" fillId="0" borderId="149" xfId="0" applyFont="1" applyFill="1" applyBorder="1" applyAlignment="1">
      <alignment vertical="top" wrapText="1"/>
    </xf>
    <xf numFmtId="0" fontId="83" fillId="0" borderId="151" xfId="0" applyFont="1" applyFill="1" applyBorder="1" applyAlignment="1">
      <alignment vertical="top" wrapText="1"/>
    </xf>
    <xf numFmtId="0" fontId="83" fillId="0" borderId="152" xfId="0" applyFont="1" applyFill="1" applyBorder="1" applyAlignment="1">
      <alignment vertical="top" wrapText="1"/>
    </xf>
    <xf numFmtId="0" fontId="83" fillId="0" borderId="154" xfId="0" applyFont="1" applyFill="1" applyBorder="1" applyAlignment="1">
      <alignment vertical="top" wrapText="1"/>
    </xf>
    <xf numFmtId="0" fontId="83" fillId="0" borderId="155" xfId="0" applyFont="1" applyFill="1" applyBorder="1" applyAlignment="1">
      <alignment vertical="top" wrapText="1"/>
    </xf>
    <xf numFmtId="0" fontId="83" fillId="0" borderId="51" xfId="0" applyFont="1" applyFill="1" applyBorder="1" applyAlignment="1">
      <alignment horizontal="distributed" vertical="center" indent="4" shrinkToFit="1"/>
    </xf>
    <xf numFmtId="38" fontId="82" fillId="0" borderId="159" xfId="50" applyFont="1" applyFill="1" applyBorder="1" applyAlignment="1">
      <alignment horizontal="center" vertical="center" textRotation="255"/>
    </xf>
    <xf numFmtId="38" fontId="82" fillId="0" borderId="65" xfId="50" applyFont="1" applyFill="1" applyBorder="1" applyAlignment="1">
      <alignment horizontal="center" vertical="center" textRotation="255"/>
    </xf>
    <xf numFmtId="38" fontId="82" fillId="0" borderId="102" xfId="50" applyFont="1" applyFill="1" applyBorder="1" applyAlignment="1">
      <alignment horizontal="center" vertical="center" textRotation="255"/>
    </xf>
    <xf numFmtId="38" fontId="13" fillId="0" borderId="28" xfId="50" applyFont="1" applyFill="1" applyBorder="1" applyAlignment="1" applyProtection="1">
      <alignment horizontal="distributed" vertical="center"/>
      <protection/>
    </xf>
    <xf numFmtId="38" fontId="13" fillId="0" borderId="76" xfId="50" applyFont="1" applyFill="1" applyBorder="1" applyAlignment="1" applyProtection="1">
      <alignment horizontal="distributed" vertical="center"/>
      <protection/>
    </xf>
    <xf numFmtId="38" fontId="82" fillId="0" borderId="159" xfId="50" applyFont="1" applyFill="1" applyBorder="1" applyAlignment="1">
      <alignment vertical="center" textRotation="255"/>
    </xf>
    <xf numFmtId="38" fontId="82" fillId="0" borderId="65" xfId="50" applyFont="1" applyFill="1" applyBorder="1" applyAlignment="1">
      <alignment vertical="center" textRotation="255"/>
    </xf>
    <xf numFmtId="38" fontId="82" fillId="0" borderId="102" xfId="50" applyFont="1" applyFill="1" applyBorder="1" applyAlignment="1">
      <alignment vertical="center" textRotation="255"/>
    </xf>
    <xf numFmtId="0" fontId="85" fillId="0" borderId="23" xfId="70" applyFont="1" applyFill="1" applyBorder="1" applyAlignment="1">
      <alignment horizontal="center" vertical="center" wrapText="1"/>
      <protection/>
    </xf>
    <xf numFmtId="0" fontId="85" fillId="0" borderId="70" xfId="70" applyFont="1" applyFill="1" applyBorder="1" applyAlignment="1">
      <alignment horizontal="center" vertical="center" wrapText="1"/>
      <protection/>
    </xf>
    <xf numFmtId="0" fontId="85" fillId="0" borderId="108" xfId="70" applyFont="1" applyFill="1" applyBorder="1" applyAlignment="1">
      <alignment horizontal="center" vertical="center" wrapText="1"/>
      <protection/>
    </xf>
    <xf numFmtId="38" fontId="82" fillId="0" borderId="88" xfId="50" applyFont="1" applyFill="1" applyBorder="1" applyAlignment="1" applyProtection="1">
      <alignment horizontal="distributed" vertical="center"/>
      <protection/>
    </xf>
    <xf numFmtId="38" fontId="82" fillId="0" borderId="91" xfId="50" applyFont="1" applyFill="1" applyBorder="1" applyAlignment="1" applyProtection="1">
      <alignment horizontal="distributed" vertical="center"/>
      <protection/>
    </xf>
    <xf numFmtId="38" fontId="82" fillId="0" borderId="54" xfId="50" applyFont="1" applyFill="1" applyBorder="1" applyAlignment="1" applyProtection="1">
      <alignment horizontal="distributed" vertical="center"/>
      <protection/>
    </xf>
    <xf numFmtId="38" fontId="82" fillId="0" borderId="159" xfId="50" applyFont="1" applyFill="1" applyBorder="1" applyAlignment="1" applyProtection="1">
      <alignment horizontal="center" vertical="center" textRotation="255"/>
      <protection/>
    </xf>
    <xf numFmtId="38" fontId="82" fillId="0" borderId="65" xfId="50" applyFont="1" applyFill="1" applyBorder="1" applyAlignment="1" applyProtection="1">
      <alignment horizontal="center" vertical="center" textRotation="255"/>
      <protection/>
    </xf>
    <xf numFmtId="38" fontId="82" fillId="0" borderId="102" xfId="50" applyFont="1" applyFill="1" applyBorder="1" applyAlignment="1" applyProtection="1">
      <alignment horizontal="center" vertical="center" textRotation="255"/>
      <protection/>
    </xf>
    <xf numFmtId="38" fontId="6" fillId="0" borderId="31" xfId="50" applyFont="1" applyFill="1" applyBorder="1" applyAlignment="1" applyProtection="1">
      <alignment horizontal="left" vertical="center"/>
      <protection/>
    </xf>
    <xf numFmtId="0" fontId="84" fillId="0" borderId="51" xfId="70" applyFont="1" applyFill="1" applyBorder="1" applyAlignment="1">
      <alignment horizontal="distributed" vertical="center" indent="8"/>
      <protection/>
    </xf>
    <xf numFmtId="0" fontId="87" fillId="0" borderId="57" xfId="0" applyFont="1" applyFill="1" applyBorder="1" applyAlignment="1">
      <alignment horizontal="distributed" vertical="center" indent="8"/>
    </xf>
    <xf numFmtId="0" fontId="87" fillId="0" borderId="141" xfId="0" applyFont="1" applyFill="1" applyBorder="1" applyAlignment="1">
      <alignment horizontal="distributed" vertical="center" indent="8"/>
    </xf>
    <xf numFmtId="38" fontId="85" fillId="0" borderId="23" xfId="50" applyFont="1" applyFill="1" applyBorder="1" applyAlignment="1">
      <alignment horizontal="center" vertical="center" shrinkToFit="1"/>
    </xf>
    <xf numFmtId="38" fontId="85" fillId="0" borderId="70" xfId="50" applyFont="1" applyFill="1" applyBorder="1" applyAlignment="1">
      <alignment horizontal="center" vertical="center" shrinkToFit="1"/>
    </xf>
    <xf numFmtId="38" fontId="85" fillId="0" borderId="92" xfId="50" applyFont="1" applyFill="1" applyBorder="1" applyAlignment="1">
      <alignment horizontal="center" vertical="center" shrinkToFit="1"/>
    </xf>
    <xf numFmtId="38" fontId="82" fillId="0" borderId="41" xfId="50" applyFont="1" applyFill="1" applyBorder="1" applyAlignment="1" applyProtection="1">
      <alignment horizontal="center" vertical="center" shrinkToFit="1"/>
      <protection/>
    </xf>
    <xf numFmtId="38" fontId="82" fillId="0" borderId="30" xfId="50" applyFont="1" applyFill="1" applyBorder="1" applyAlignment="1" applyProtection="1">
      <alignment horizontal="center" vertical="center" shrinkToFit="1"/>
      <protection/>
    </xf>
    <xf numFmtId="38" fontId="13" fillId="0" borderId="51" xfId="50" applyFont="1" applyFill="1" applyBorder="1" applyAlignment="1" applyProtection="1">
      <alignment horizontal="distributed" vertical="center" shrinkToFit="1"/>
      <protection/>
    </xf>
    <xf numFmtId="38" fontId="13" fillId="0" borderId="58" xfId="50" applyFont="1" applyFill="1" applyBorder="1" applyAlignment="1" applyProtection="1">
      <alignment horizontal="distributed" vertical="center" shrinkToFit="1"/>
      <protection/>
    </xf>
    <xf numFmtId="38" fontId="13" fillId="0" borderId="23" xfId="50" applyFont="1" applyFill="1" applyBorder="1" applyAlignment="1" applyProtection="1">
      <alignment horizontal="distributed" vertical="center" shrinkToFit="1"/>
      <protection/>
    </xf>
    <xf numFmtId="38" fontId="13" fillId="0" borderId="70" xfId="50" applyFont="1" applyFill="1" applyBorder="1" applyAlignment="1" applyProtection="1">
      <alignment horizontal="distributed" vertical="center" shrinkToFit="1"/>
      <protection/>
    </xf>
    <xf numFmtId="38" fontId="13" fillId="0" borderId="28" xfId="50" applyFont="1" applyFill="1" applyBorder="1" applyAlignment="1" applyProtection="1">
      <alignment horizontal="distributed" vertical="center" shrinkToFit="1"/>
      <protection/>
    </xf>
    <xf numFmtId="38" fontId="13" fillId="0" borderId="76" xfId="50" applyFont="1" applyFill="1" applyBorder="1" applyAlignment="1" applyProtection="1">
      <alignment horizontal="distributed" vertical="center" shrinkToFit="1"/>
      <protection/>
    </xf>
    <xf numFmtId="38" fontId="13" fillId="0" borderId="121" xfId="50" applyFont="1" applyFill="1" applyBorder="1" applyAlignment="1" applyProtection="1">
      <alignment horizontal="distributed" vertical="center" shrinkToFit="1"/>
      <protection/>
    </xf>
    <xf numFmtId="38" fontId="13" fillId="0" borderId="120" xfId="50" applyFont="1" applyFill="1" applyBorder="1" applyAlignment="1" applyProtection="1">
      <alignment horizontal="distributed" vertical="center" shrinkToFit="1"/>
      <protection/>
    </xf>
    <xf numFmtId="38" fontId="84" fillId="0" borderId="29" xfId="50" applyFont="1" applyFill="1" applyBorder="1" applyAlignment="1" applyProtection="1">
      <alignment horizontal="center" vertical="center" wrapText="1"/>
      <protection/>
    </xf>
    <xf numFmtId="38" fontId="84" fillId="0" borderId="55" xfId="50" applyFont="1" applyFill="1" applyBorder="1" applyAlignment="1" applyProtection="1">
      <alignment horizontal="center" vertical="center" wrapText="1"/>
      <protection/>
    </xf>
    <xf numFmtId="38" fontId="84" fillId="0" borderId="88" xfId="50" applyFont="1" applyFill="1" applyBorder="1" applyAlignment="1" applyProtection="1">
      <alignment horizontal="center" vertical="center"/>
      <protection/>
    </xf>
    <xf numFmtId="38" fontId="84" fillId="0" borderId="91" xfId="50" applyFont="1" applyFill="1" applyBorder="1" applyAlignment="1" applyProtection="1">
      <alignment horizontal="center" vertical="center"/>
      <protection/>
    </xf>
    <xf numFmtId="38" fontId="84" fillId="0" borderId="54" xfId="50" applyFont="1" applyFill="1" applyBorder="1" applyAlignment="1" applyProtection="1">
      <alignment horizontal="center" vertical="center"/>
      <protection/>
    </xf>
    <xf numFmtId="38" fontId="13" fillId="0" borderId="45" xfId="50" applyFont="1" applyFill="1" applyBorder="1" applyAlignment="1" applyProtection="1">
      <alignment horizontal="distributed" vertical="center" shrinkToFit="1"/>
      <protection/>
    </xf>
    <xf numFmtId="38" fontId="13" fillId="0" borderId="26" xfId="50" applyFont="1" applyFill="1" applyBorder="1" applyAlignment="1" applyProtection="1">
      <alignment horizontal="distributed" vertical="center" shrinkToFit="1"/>
      <protection/>
    </xf>
    <xf numFmtId="38" fontId="84" fillId="0" borderId="51" xfId="50" applyFont="1" applyFill="1" applyBorder="1" applyAlignment="1">
      <alignment horizontal="center" vertical="center"/>
    </xf>
    <xf numFmtId="38" fontId="84" fillId="0" borderId="57" xfId="50" applyFont="1" applyFill="1" applyBorder="1" applyAlignment="1">
      <alignment horizontal="center" vertical="center"/>
    </xf>
    <xf numFmtId="0" fontId="84" fillId="0" borderId="57" xfId="0" applyFont="1" applyFill="1" applyBorder="1" applyAlignment="1">
      <alignment horizontal="center" vertical="center"/>
    </xf>
    <xf numFmtId="0" fontId="84" fillId="0" borderId="58" xfId="0" applyFont="1" applyFill="1" applyBorder="1" applyAlignment="1">
      <alignment horizontal="center" vertical="center"/>
    </xf>
    <xf numFmtId="38" fontId="82" fillId="0" borderId="38" xfId="50" applyFont="1" applyFill="1" applyBorder="1" applyAlignment="1">
      <alignment horizontal="distributed" vertical="center"/>
    </xf>
    <xf numFmtId="0" fontId="82" fillId="0" borderId="133" xfId="0" applyFont="1" applyFill="1" applyBorder="1" applyAlignment="1">
      <alignment horizontal="distributed" vertical="center"/>
    </xf>
    <xf numFmtId="0" fontId="82" fillId="0" borderId="52" xfId="0" applyFont="1" applyFill="1" applyBorder="1" applyAlignment="1">
      <alignment horizontal="distributed" vertical="center"/>
    </xf>
    <xf numFmtId="0" fontId="82" fillId="0" borderId="135" xfId="0" applyFont="1" applyFill="1" applyBorder="1" applyAlignment="1">
      <alignment horizontal="distributed" vertical="center"/>
    </xf>
    <xf numFmtId="38" fontId="84" fillId="0" borderId="23" xfId="50" applyFont="1" applyFill="1" applyBorder="1" applyAlignment="1" applyProtection="1">
      <alignment horizontal="center" vertical="center" shrinkToFit="1"/>
      <protection/>
    </xf>
    <xf numFmtId="38" fontId="84" fillId="0" borderId="70" xfId="50" applyFont="1" applyFill="1" applyBorder="1" applyAlignment="1" applyProtection="1">
      <alignment horizontal="center" vertical="center" shrinkToFit="1"/>
      <protection/>
    </xf>
    <xf numFmtId="38" fontId="84" fillId="0" borderId="23" xfId="50" applyFont="1" applyFill="1" applyBorder="1" applyAlignment="1">
      <alignment horizontal="center" vertical="center" shrinkToFit="1"/>
    </xf>
    <xf numFmtId="38" fontId="84" fillId="0" borderId="70" xfId="50" applyFont="1" applyFill="1" applyBorder="1" applyAlignment="1">
      <alignment horizontal="center" vertical="center" shrinkToFit="1"/>
    </xf>
    <xf numFmtId="0" fontId="61" fillId="0" borderId="159" xfId="0" applyFont="1" applyFill="1" applyBorder="1" applyAlignment="1">
      <alignment horizontal="center" vertical="center" textRotation="255"/>
    </xf>
    <xf numFmtId="0" fontId="61" fillId="0" borderId="65" xfId="0" applyFont="1" applyFill="1" applyBorder="1" applyAlignment="1">
      <alignment horizontal="center" vertical="center" textRotation="255"/>
    </xf>
    <xf numFmtId="0" fontId="61" fillId="0" borderId="102" xfId="0" applyFont="1" applyFill="1" applyBorder="1" applyAlignment="1">
      <alignment horizontal="center" vertical="center" textRotation="255"/>
    </xf>
    <xf numFmtId="37" fontId="61" fillId="0" borderId="159" xfId="0" applyNumberFormat="1" applyFont="1" applyFill="1" applyBorder="1" applyAlignment="1" applyProtection="1">
      <alignment horizontal="center" vertical="center" textRotation="255"/>
      <protection/>
    </xf>
    <xf numFmtId="37" fontId="61" fillId="0" borderId="65" xfId="0" applyNumberFormat="1" applyFont="1" applyFill="1" applyBorder="1" applyAlignment="1" applyProtection="1">
      <alignment horizontal="center" vertical="center" textRotation="255"/>
      <protection/>
    </xf>
    <xf numFmtId="37" fontId="61" fillId="0" borderId="102" xfId="0" applyNumberFormat="1" applyFont="1" applyFill="1" applyBorder="1" applyAlignment="1" applyProtection="1">
      <alignment horizontal="center" vertical="center" textRotation="255"/>
      <protection/>
    </xf>
    <xf numFmtId="0" fontId="61" fillId="0" borderId="22" xfId="0" applyFont="1" applyFill="1" applyBorder="1" applyAlignment="1">
      <alignment horizontal="distributed" vertical="center"/>
    </xf>
    <xf numFmtId="0" fontId="61" fillId="0" borderId="122" xfId="0" applyFont="1" applyFill="1" applyBorder="1" applyAlignment="1">
      <alignment horizontal="distributed" vertical="center"/>
    </xf>
    <xf numFmtId="181" fontId="61" fillId="0" borderId="88" xfId="50" applyNumberFormat="1" applyFont="1" applyFill="1" applyBorder="1" applyAlignment="1" applyProtection="1">
      <alignment horizontal="center" vertical="center"/>
      <protection/>
    </xf>
    <xf numFmtId="181" fontId="61" fillId="0" borderId="54" xfId="50" applyNumberFormat="1" applyFont="1" applyFill="1" applyBorder="1" applyAlignment="1" applyProtection="1">
      <alignment horizontal="center" vertical="center"/>
      <protection/>
    </xf>
    <xf numFmtId="0" fontId="99" fillId="0" borderId="65" xfId="0" applyFont="1" applyFill="1" applyBorder="1" applyAlignment="1">
      <alignment horizontal="center" vertical="center" textRotation="255"/>
    </xf>
    <xf numFmtId="37" fontId="99" fillId="0" borderId="22" xfId="0" applyNumberFormat="1" applyFont="1" applyFill="1" applyBorder="1" applyAlignment="1" applyProtection="1">
      <alignment horizontal="distributed" vertical="center"/>
      <protection/>
    </xf>
    <xf numFmtId="37" fontId="61" fillId="0" borderId="29" xfId="0" applyNumberFormat="1" applyFont="1" applyFill="1" applyBorder="1" applyAlignment="1" applyProtection="1">
      <alignment horizontal="distributed" vertical="center"/>
      <protection/>
    </xf>
    <xf numFmtId="37" fontId="61" fillId="0" borderId="122" xfId="0" applyNumberFormat="1" applyFont="1" applyFill="1" applyBorder="1" applyAlignment="1" applyProtection="1">
      <alignment horizontal="distributed" vertical="center"/>
      <protection/>
    </xf>
    <xf numFmtId="38" fontId="61" fillId="0" borderId="22" xfId="50" applyFont="1" applyFill="1" applyBorder="1" applyAlignment="1" applyProtection="1">
      <alignment horizontal="distributed" vertical="center"/>
      <protection/>
    </xf>
    <xf numFmtId="38" fontId="61" fillId="0" borderId="29" xfId="50" applyFont="1" applyFill="1" applyBorder="1" applyAlignment="1" applyProtection="1">
      <alignment horizontal="distributed" vertical="center"/>
      <protection/>
    </xf>
    <xf numFmtId="38" fontId="61" fillId="0" borderId="69" xfId="50" applyFont="1" applyFill="1" applyBorder="1" applyAlignment="1" applyProtection="1">
      <alignment horizontal="distributed" vertical="center"/>
      <protection/>
    </xf>
    <xf numFmtId="37" fontId="61" fillId="0" borderId="56" xfId="0" applyNumberFormat="1" applyFont="1" applyFill="1" applyBorder="1" applyAlignment="1" applyProtection="1">
      <alignment horizontal="center" vertical="center"/>
      <protection/>
    </xf>
    <xf numFmtId="37" fontId="61" fillId="0" borderId="29" xfId="0" applyNumberFormat="1" applyFont="1" applyFill="1" applyBorder="1" applyAlignment="1" applyProtection="1">
      <alignment horizontal="center" vertical="center"/>
      <protection/>
    </xf>
    <xf numFmtId="37" fontId="61" fillId="0" borderId="69" xfId="0" applyNumberFormat="1" applyFont="1" applyFill="1" applyBorder="1" applyAlignment="1" applyProtection="1">
      <alignment horizontal="center" vertical="center"/>
      <protection/>
    </xf>
    <xf numFmtId="57" fontId="13" fillId="0" borderId="0" xfId="0" applyNumberFormat="1" applyFont="1" applyFill="1" applyBorder="1" applyAlignment="1">
      <alignment horizontal="right"/>
    </xf>
    <xf numFmtId="38" fontId="61" fillId="0" borderId="148" xfId="50" applyFont="1" applyFill="1" applyBorder="1" applyAlignment="1">
      <alignment vertical="center" wrapText="1"/>
    </xf>
    <xf numFmtId="0" fontId="62" fillId="0" borderId="150" xfId="0" applyFont="1" applyFill="1" applyBorder="1" applyAlignment="1">
      <alignment vertical="center" wrapText="1"/>
    </xf>
    <xf numFmtId="0" fontId="62" fillId="0" borderId="154" xfId="0" applyFont="1" applyFill="1" applyBorder="1" applyAlignment="1">
      <alignment vertical="center" wrapText="1"/>
    </xf>
    <xf numFmtId="0" fontId="62" fillId="0" borderId="156" xfId="0" applyFont="1" applyFill="1" applyBorder="1" applyAlignment="1">
      <alignment vertical="center" wrapText="1"/>
    </xf>
    <xf numFmtId="0" fontId="61" fillId="0" borderId="56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14" fillId="0" borderId="56" xfId="0" applyNumberFormat="1" applyFont="1" applyFill="1" applyBorder="1" applyAlignment="1" quotePrefix="1">
      <alignment horizontal="center" vertical="distributed" textRotation="255"/>
    </xf>
    <xf numFmtId="0" fontId="14" fillId="0" borderId="14" xfId="0" applyNumberFormat="1" applyFont="1" applyFill="1" applyBorder="1" applyAlignment="1" quotePrefix="1">
      <alignment horizontal="center" vertical="distributed" textRotation="255"/>
    </xf>
    <xf numFmtId="0" fontId="14" fillId="0" borderId="51" xfId="0" applyFont="1" applyFill="1" applyBorder="1" applyAlignment="1">
      <alignment horizontal="distributed" vertical="center"/>
    </xf>
    <xf numFmtId="0" fontId="14" fillId="0" borderId="57" xfId="0" applyFont="1" applyFill="1" applyBorder="1" applyAlignment="1">
      <alignment horizontal="distributed" vertical="center"/>
    </xf>
    <xf numFmtId="0" fontId="14" fillId="0" borderId="58" xfId="0" applyFont="1" applyFill="1" applyBorder="1" applyAlignment="1">
      <alignment horizontal="distributed" vertical="center"/>
    </xf>
    <xf numFmtId="0" fontId="14" fillId="0" borderId="56" xfId="0" applyNumberFormat="1" applyFont="1" applyFill="1" applyBorder="1" applyAlignment="1" quotePrefix="1">
      <alignment horizontal="center" vertical="distributed" textRotation="255"/>
    </xf>
    <xf numFmtId="0" fontId="14" fillId="0" borderId="14" xfId="0" applyNumberFormat="1" applyFont="1" applyFill="1" applyBorder="1" applyAlignment="1" quotePrefix="1">
      <alignment horizontal="center" vertical="distributed" textRotation="255"/>
    </xf>
    <xf numFmtId="0" fontId="14" fillId="0" borderId="49" xfId="0" applyNumberFormat="1" applyFont="1" applyFill="1" applyBorder="1" applyAlignment="1" quotePrefix="1">
      <alignment horizontal="center" vertical="distributed" textRotation="255"/>
    </xf>
    <xf numFmtId="0" fontId="14" fillId="0" borderId="37" xfId="0" applyNumberFormat="1" applyFont="1" applyFill="1" applyBorder="1" applyAlignment="1" quotePrefix="1">
      <alignment horizontal="center" vertical="distributed" textRotation="255"/>
    </xf>
    <xf numFmtId="0" fontId="100" fillId="0" borderId="22" xfId="0" applyFont="1" applyFill="1" applyBorder="1" applyAlignment="1">
      <alignment horizontal="distributed" vertical="center"/>
    </xf>
    <xf numFmtId="0" fontId="100" fillId="0" borderId="14" xfId="0" applyFont="1" applyFill="1" applyBorder="1" applyAlignment="1">
      <alignment horizontal="distributed" vertical="center"/>
    </xf>
    <xf numFmtId="0" fontId="100" fillId="0" borderId="65" xfId="0" applyFont="1" applyFill="1" applyBorder="1" applyAlignment="1">
      <alignment horizontal="distributed" vertical="center"/>
    </xf>
    <xf numFmtId="0" fontId="100" fillId="0" borderId="102" xfId="0" applyFont="1" applyFill="1" applyBorder="1" applyAlignment="1">
      <alignment horizontal="distributed" vertical="center"/>
    </xf>
    <xf numFmtId="0" fontId="100" fillId="0" borderId="29" xfId="0" applyFont="1" applyFill="1" applyBorder="1" applyAlignment="1">
      <alignment horizontal="distributed" vertical="center"/>
    </xf>
    <xf numFmtId="0" fontId="100" fillId="0" borderId="69" xfId="0" applyFont="1" applyFill="1" applyBorder="1" applyAlignment="1">
      <alignment horizontal="distributed" vertical="center"/>
    </xf>
    <xf numFmtId="38" fontId="82" fillId="0" borderId="148" xfId="50" applyFont="1" applyFill="1" applyBorder="1" applyAlignment="1">
      <alignment vertical="center" wrapText="1"/>
    </xf>
    <xf numFmtId="0" fontId="86" fillId="0" borderId="150" xfId="0" applyFont="1" applyFill="1" applyBorder="1" applyAlignment="1">
      <alignment vertical="center" wrapText="1"/>
    </xf>
    <xf numFmtId="0" fontId="86" fillId="0" borderId="154" xfId="0" applyFont="1" applyFill="1" applyBorder="1" applyAlignment="1">
      <alignment vertical="center" wrapText="1"/>
    </xf>
    <xf numFmtId="0" fontId="86" fillId="0" borderId="156" xfId="0" applyFont="1" applyFill="1" applyBorder="1" applyAlignment="1">
      <alignment vertical="center" wrapText="1"/>
    </xf>
    <xf numFmtId="0" fontId="83" fillId="0" borderId="56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/>
    </xf>
    <xf numFmtId="0" fontId="100" fillId="0" borderId="159" xfId="0" applyFont="1" applyFill="1" applyBorder="1" applyAlignment="1">
      <alignment horizontal="distributed" vertical="center"/>
    </xf>
    <xf numFmtId="0" fontId="83" fillId="0" borderId="38" xfId="0" applyFont="1" applyFill="1" applyBorder="1" applyAlignment="1">
      <alignment vertical="distributed" textRotation="255"/>
    </xf>
    <xf numFmtId="0" fontId="83" fillId="0" borderId="41" xfId="0" applyFont="1" applyFill="1" applyBorder="1" applyAlignment="1">
      <alignment vertical="distributed" textRotation="255"/>
    </xf>
    <xf numFmtId="0" fontId="81" fillId="0" borderId="57" xfId="0" applyFont="1" applyFill="1" applyBorder="1" applyAlignment="1">
      <alignment horizontal="center" vertical="center"/>
    </xf>
    <xf numFmtId="0" fontId="81" fillId="0" borderId="58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vertical="distributed" textRotation="255"/>
    </xf>
    <xf numFmtId="0" fontId="83" fillId="0" borderId="49" xfId="0" applyFont="1" applyFill="1" applyBorder="1" applyAlignment="1">
      <alignment vertical="distributed" textRotation="255"/>
    </xf>
    <xf numFmtId="0" fontId="83" fillId="0" borderId="37" xfId="0" applyFont="1" applyFill="1" applyBorder="1" applyAlignment="1">
      <alignment vertical="distributed" textRotation="255"/>
    </xf>
    <xf numFmtId="181" fontId="100" fillId="0" borderId="88" xfId="50" applyNumberFormat="1" applyFont="1" applyFill="1" applyBorder="1" applyAlignment="1" applyProtection="1">
      <alignment horizontal="center" vertical="center"/>
      <protection/>
    </xf>
    <xf numFmtId="0" fontId="100" fillId="0" borderId="54" xfId="0" applyFont="1" applyFill="1" applyBorder="1" applyAlignment="1">
      <alignment horizontal="center" vertical="center"/>
    </xf>
    <xf numFmtId="0" fontId="83" fillId="0" borderId="56" xfId="0" applyFont="1" applyFill="1" applyBorder="1" applyAlignment="1">
      <alignment vertical="distributed" textRotation="255"/>
    </xf>
    <xf numFmtId="38" fontId="42" fillId="0" borderId="0" xfId="50" applyFont="1" applyFill="1" applyAlignment="1">
      <alignment vertical="center"/>
    </xf>
    <xf numFmtId="38" fontId="83" fillId="0" borderId="159" xfId="50" applyFont="1" applyFill="1" applyBorder="1" applyAlignment="1" applyProtection="1">
      <alignment horizontal="center" vertical="center" textRotation="255"/>
      <protection/>
    </xf>
    <xf numFmtId="38" fontId="83" fillId="0" borderId="65" xfId="50" applyFont="1" applyFill="1" applyBorder="1" applyAlignment="1" applyProtection="1">
      <alignment horizontal="center" vertical="center" textRotation="255"/>
      <protection/>
    </xf>
    <xf numFmtId="38" fontId="83" fillId="0" borderId="102" xfId="50" applyFont="1" applyFill="1" applyBorder="1" applyAlignment="1" applyProtection="1">
      <alignment horizontal="center" vertical="center" textRotation="255"/>
      <protection/>
    </xf>
    <xf numFmtId="0" fontId="13" fillId="0" borderId="57" xfId="0" applyFont="1" applyFill="1" applyBorder="1" applyAlignment="1">
      <alignment horizontal="distributed" vertical="center"/>
    </xf>
    <xf numFmtId="0" fontId="13" fillId="0" borderId="92" xfId="0" applyFont="1" applyFill="1" applyBorder="1" applyAlignment="1">
      <alignment horizontal="distributed" vertical="center"/>
    </xf>
    <xf numFmtId="0" fontId="13" fillId="0" borderId="51" xfId="0" applyFont="1" applyFill="1" applyBorder="1" applyAlignment="1">
      <alignment horizontal="distributed" vertical="center"/>
    </xf>
    <xf numFmtId="0" fontId="82" fillId="0" borderId="149" xfId="0" applyFont="1" applyFill="1" applyBorder="1" applyAlignment="1">
      <alignment vertical="center" wrapText="1"/>
    </xf>
    <xf numFmtId="0" fontId="82" fillId="0" borderId="150" xfId="0" applyFont="1" applyFill="1" applyBorder="1" applyAlignment="1">
      <alignment vertical="center" wrapText="1"/>
    </xf>
    <xf numFmtId="0" fontId="82" fillId="0" borderId="154" xfId="0" applyFont="1" applyFill="1" applyBorder="1" applyAlignment="1">
      <alignment vertical="center" wrapText="1"/>
    </xf>
    <xf numFmtId="0" fontId="82" fillId="0" borderId="155" xfId="0" applyFont="1" applyFill="1" applyBorder="1" applyAlignment="1">
      <alignment vertical="center" wrapText="1"/>
    </xf>
    <xf numFmtId="0" fontId="82" fillId="0" borderId="156" xfId="0" applyFont="1" applyFill="1" applyBorder="1" applyAlignment="1">
      <alignment vertical="center" wrapText="1"/>
    </xf>
    <xf numFmtId="38" fontId="82" fillId="0" borderId="34" xfId="50" applyFont="1" applyFill="1" applyBorder="1" applyAlignment="1" applyProtection="1">
      <alignment horizontal="distributed" vertical="center"/>
      <protection/>
    </xf>
    <xf numFmtId="0" fontId="86" fillId="0" borderId="31" xfId="0" applyFont="1" applyFill="1" applyBorder="1" applyAlignment="1">
      <alignment horizontal="distributed" vertical="center"/>
    </xf>
    <xf numFmtId="0" fontId="86" fillId="0" borderId="30" xfId="0" applyFont="1" applyFill="1" applyBorder="1" applyAlignment="1">
      <alignment horizontal="distributed" vertical="center"/>
    </xf>
    <xf numFmtId="38" fontId="42" fillId="0" borderId="0" xfId="50" applyFont="1" applyFill="1" applyAlignment="1">
      <alignment horizontal="center"/>
    </xf>
    <xf numFmtId="38" fontId="82" fillId="0" borderId="159" xfId="50" applyFont="1" applyFill="1" applyBorder="1" applyAlignment="1" applyProtection="1">
      <alignment horizontal="center" vertical="center" textRotation="255" shrinkToFit="1"/>
      <protection/>
    </xf>
    <xf numFmtId="38" fontId="82" fillId="0" borderId="65" xfId="50" applyFont="1" applyFill="1" applyBorder="1" applyAlignment="1" applyProtection="1">
      <alignment horizontal="center" vertical="center" textRotation="255" shrinkToFit="1"/>
      <protection/>
    </xf>
    <xf numFmtId="38" fontId="82" fillId="0" borderId="102" xfId="50" applyFont="1" applyFill="1" applyBorder="1" applyAlignment="1" applyProtection="1">
      <alignment horizontal="center" vertical="center" textRotation="255" shrinkToFit="1"/>
      <protection/>
    </xf>
    <xf numFmtId="0" fontId="13" fillId="0" borderId="83" xfId="0" applyFont="1" applyFill="1" applyBorder="1" applyAlignment="1">
      <alignment horizontal="distributed" vertical="center"/>
    </xf>
    <xf numFmtId="38" fontId="13" fillId="0" borderId="92" xfId="50" applyFont="1" applyFill="1" applyBorder="1" applyAlignment="1" applyProtection="1">
      <alignment horizontal="distributed" vertical="center"/>
      <protection/>
    </xf>
    <xf numFmtId="0" fontId="13" fillId="0" borderId="82" xfId="0" applyFont="1" applyFill="1" applyBorder="1" applyAlignment="1">
      <alignment horizontal="distributed" vertical="center"/>
    </xf>
    <xf numFmtId="38" fontId="2" fillId="0" borderId="121" xfId="50" applyFont="1" applyFill="1" applyBorder="1" applyAlignment="1" applyProtection="1">
      <alignment horizontal="distributed" vertical="center"/>
      <protection/>
    </xf>
    <xf numFmtId="38" fontId="2" fillId="0" borderId="131" xfId="50" applyFont="1" applyFill="1" applyBorder="1" applyAlignment="1" applyProtection="1">
      <alignment horizontal="distributed" vertical="center"/>
      <protection/>
    </xf>
    <xf numFmtId="0" fontId="2" fillId="0" borderId="28" xfId="0" applyFont="1" applyFill="1" applyBorder="1" applyAlignment="1" applyProtection="1">
      <alignment horizontal="distributed" vertical="center"/>
      <protection/>
    </xf>
    <xf numFmtId="0" fontId="2" fillId="0" borderId="76" xfId="0" applyFont="1" applyFill="1" applyBorder="1" applyAlignment="1" applyProtection="1">
      <alignment horizontal="distributed" vertical="center"/>
      <protection/>
    </xf>
    <xf numFmtId="0" fontId="2" fillId="0" borderId="45" xfId="0" applyFont="1" applyFill="1" applyBorder="1" applyAlignment="1" applyProtection="1">
      <alignment horizontal="distributed" vertical="center"/>
      <protection/>
    </xf>
    <xf numFmtId="0" fontId="2" fillId="0" borderId="26" xfId="0" applyFont="1" applyFill="1" applyBorder="1" applyAlignment="1" applyProtection="1">
      <alignment horizontal="distributed" vertical="center"/>
      <protection/>
    </xf>
    <xf numFmtId="0" fontId="2" fillId="0" borderId="115" xfId="0" applyFont="1" applyFill="1" applyBorder="1" applyAlignment="1" applyProtection="1">
      <alignment horizontal="distributed" vertical="center"/>
      <protection/>
    </xf>
    <xf numFmtId="0" fontId="2" fillId="0" borderId="132" xfId="0" applyFont="1" applyFill="1" applyBorder="1" applyAlignment="1" applyProtection="1">
      <alignment horizontal="distributed" vertical="center"/>
      <protection/>
    </xf>
    <xf numFmtId="0" fontId="83" fillId="0" borderId="41" xfId="0" applyFont="1" applyFill="1" applyBorder="1" applyAlignment="1">
      <alignment horizontal="center" vertical="center"/>
    </xf>
    <xf numFmtId="0" fontId="83" fillId="0" borderId="30" xfId="0" applyFont="1" applyFill="1" applyBorder="1" applyAlignment="1">
      <alignment horizontal="center" vertical="center"/>
    </xf>
    <xf numFmtId="0" fontId="83" fillId="0" borderId="159" xfId="0" applyFont="1" applyFill="1" applyBorder="1" applyAlignment="1">
      <alignment horizontal="center" vertical="center" textRotation="255"/>
    </xf>
    <xf numFmtId="0" fontId="83" fillId="0" borderId="65" xfId="0" applyFont="1" applyFill="1" applyBorder="1" applyAlignment="1">
      <alignment horizontal="center" vertical="center" textRotation="255"/>
    </xf>
    <xf numFmtId="0" fontId="83" fillId="0" borderId="102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 applyProtection="1">
      <alignment horizontal="distributed" vertical="center"/>
      <protection/>
    </xf>
    <xf numFmtId="0" fontId="2" fillId="0" borderId="53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84" xfId="0" applyFont="1" applyFill="1" applyBorder="1" applyAlignment="1">
      <alignment horizontal="distributed" vertical="center"/>
    </xf>
    <xf numFmtId="0" fontId="2" fillId="0" borderId="23" xfId="0" applyFont="1" applyFill="1" applyBorder="1" applyAlignment="1" applyProtection="1">
      <alignment horizontal="distributed" vertical="center"/>
      <protection/>
    </xf>
    <xf numFmtId="0" fontId="2" fillId="0" borderId="70" xfId="0" applyFont="1" applyFill="1" applyBorder="1" applyAlignment="1" applyProtection="1">
      <alignment horizontal="distributed" vertical="center"/>
      <protection/>
    </xf>
    <xf numFmtId="0" fontId="2" fillId="0" borderId="52" xfId="0" applyFont="1" applyFill="1" applyBorder="1" applyAlignment="1" applyProtection="1">
      <alignment horizontal="distributed" vertical="center"/>
      <protection/>
    </xf>
    <xf numFmtId="0" fontId="2" fillId="0" borderId="84" xfId="0" applyFont="1" applyFill="1" applyBorder="1" applyAlignment="1" applyProtection="1">
      <alignment horizontal="distributed" vertical="center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distributed" vertical="center"/>
      <protection/>
    </xf>
    <xf numFmtId="0" fontId="2" fillId="0" borderId="69" xfId="0" applyFont="1" applyFill="1" applyBorder="1" applyAlignment="1" applyProtection="1">
      <alignment horizontal="distributed" vertical="center"/>
      <protection/>
    </xf>
    <xf numFmtId="0" fontId="2" fillId="0" borderId="113" xfId="0" applyFont="1" applyFill="1" applyBorder="1" applyAlignment="1" applyProtection="1">
      <alignment horizontal="distributed" vertical="center"/>
      <protection/>
    </xf>
    <xf numFmtId="0" fontId="2" fillId="0" borderId="121" xfId="0" applyFont="1" applyFill="1" applyBorder="1" applyAlignment="1" applyProtection="1">
      <alignment horizontal="distributed" vertical="center"/>
      <protection/>
    </xf>
    <xf numFmtId="0" fontId="83" fillId="0" borderId="41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distributed" vertical="center"/>
      <protection/>
    </xf>
    <xf numFmtId="0" fontId="2" fillId="0" borderId="58" xfId="0" applyFont="1" applyFill="1" applyBorder="1" applyAlignment="1">
      <alignment horizontal="distributed" vertical="center"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84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38" fontId="83" fillId="0" borderId="148" xfId="50" applyFont="1" applyFill="1" applyBorder="1" applyAlignment="1">
      <alignment horizontal="left" vertical="center" wrapText="1"/>
    </xf>
    <xf numFmtId="38" fontId="83" fillId="0" borderId="149" xfId="50" applyFont="1" applyFill="1" applyBorder="1" applyAlignment="1">
      <alignment horizontal="left" vertical="center" wrapText="1"/>
    </xf>
    <xf numFmtId="38" fontId="83" fillId="0" borderId="150" xfId="50" applyFont="1" applyFill="1" applyBorder="1" applyAlignment="1">
      <alignment horizontal="left" vertical="center" wrapText="1"/>
    </xf>
    <xf numFmtId="38" fontId="83" fillId="0" borderId="154" xfId="50" applyFont="1" applyFill="1" applyBorder="1" applyAlignment="1">
      <alignment horizontal="left" vertical="center" wrapText="1"/>
    </xf>
    <xf numFmtId="38" fontId="83" fillId="0" borderId="155" xfId="50" applyFont="1" applyFill="1" applyBorder="1" applyAlignment="1">
      <alignment horizontal="left" vertical="center" wrapText="1"/>
    </xf>
    <xf numFmtId="38" fontId="83" fillId="0" borderId="156" xfId="50" applyFont="1" applyFill="1" applyBorder="1" applyAlignment="1">
      <alignment horizontal="left" vertical="center" wrapText="1"/>
    </xf>
    <xf numFmtId="0" fontId="83" fillId="0" borderId="56" xfId="0" applyFont="1" applyFill="1" applyBorder="1" applyAlignment="1" applyProtection="1">
      <alignment horizontal="center" vertical="center"/>
      <protection/>
    </xf>
    <xf numFmtId="0" fontId="83" fillId="0" borderId="29" xfId="0" applyFont="1" applyFill="1" applyBorder="1" applyAlignment="1">
      <alignment horizontal="center" vertical="center"/>
    </xf>
    <xf numFmtId="0" fontId="82" fillId="0" borderId="51" xfId="0" applyFont="1" applyFill="1" applyBorder="1" applyAlignment="1" applyProtection="1">
      <alignment horizontal="center" vertical="center"/>
      <protection/>
    </xf>
    <xf numFmtId="0" fontId="82" fillId="0" borderId="57" xfId="0" applyFont="1" applyFill="1" applyBorder="1" applyAlignment="1">
      <alignment horizontal="center" vertical="center"/>
    </xf>
    <xf numFmtId="0" fontId="82" fillId="0" borderId="58" xfId="0" applyFont="1" applyFill="1" applyBorder="1" applyAlignment="1">
      <alignment horizontal="center" vertical="center"/>
    </xf>
    <xf numFmtId="38" fontId="83" fillId="0" borderId="88" xfId="50" applyFont="1" applyFill="1" applyBorder="1" applyAlignment="1" applyProtection="1">
      <alignment horizontal="center" vertical="center"/>
      <protection/>
    </xf>
    <xf numFmtId="38" fontId="83" fillId="0" borderId="91" xfId="50" applyFont="1" applyFill="1" applyBorder="1" applyAlignment="1" applyProtection="1">
      <alignment horizontal="center" vertical="center"/>
      <protection/>
    </xf>
    <xf numFmtId="38" fontId="83" fillId="0" borderId="54" xfId="50" applyFont="1" applyFill="1" applyBorder="1" applyAlignment="1" applyProtection="1">
      <alignment horizontal="center" vertical="center"/>
      <protection/>
    </xf>
    <xf numFmtId="38" fontId="2" fillId="0" borderId="51" xfId="50" applyFont="1" applyFill="1" applyBorder="1" applyAlignment="1" applyProtection="1">
      <alignment horizontal="distributed" vertical="center"/>
      <protection/>
    </xf>
    <xf numFmtId="0" fontId="82" fillId="0" borderId="60" xfId="0" applyFont="1" applyFill="1" applyBorder="1" applyAlignment="1">
      <alignment horizontal="center" vertical="center" wrapText="1"/>
    </xf>
    <xf numFmtId="0" fontId="82" fillId="0" borderId="61" xfId="0" applyFont="1" applyFill="1" applyBorder="1" applyAlignment="1">
      <alignment horizontal="center" vertical="center" wrapText="1"/>
    </xf>
    <xf numFmtId="0" fontId="82" fillId="0" borderId="159" xfId="0" applyFont="1" applyFill="1" applyBorder="1" applyAlignment="1">
      <alignment horizontal="center" vertical="center" wrapText="1"/>
    </xf>
    <xf numFmtId="0" fontId="82" fillId="0" borderId="65" xfId="0" applyFont="1" applyFill="1" applyBorder="1" applyAlignment="1">
      <alignment horizontal="center" vertical="center" wrapText="1"/>
    </xf>
    <xf numFmtId="0" fontId="82" fillId="0" borderId="102" xfId="0" applyFont="1" applyFill="1" applyBorder="1" applyAlignment="1">
      <alignment horizontal="center" vertical="center" wrapText="1"/>
    </xf>
    <xf numFmtId="0" fontId="92" fillId="0" borderId="31" xfId="0" applyFont="1" applyFill="1" applyBorder="1" applyAlignment="1">
      <alignment horizontal="left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41" xfId="0" applyFont="1" applyFill="1" applyBorder="1" applyAlignment="1">
      <alignment horizontal="center" vertical="center"/>
    </xf>
    <xf numFmtId="0" fontId="82" fillId="0" borderId="148" xfId="0" applyFont="1" applyFill="1" applyBorder="1" applyAlignment="1">
      <alignment vertical="top" wrapText="1"/>
    </xf>
    <xf numFmtId="0" fontId="82" fillId="0" borderId="150" xfId="0" applyFont="1" applyFill="1" applyBorder="1" applyAlignment="1">
      <alignment vertical="top" wrapText="1"/>
    </xf>
    <xf numFmtId="0" fontId="82" fillId="0" borderId="154" xfId="0" applyFont="1" applyFill="1" applyBorder="1" applyAlignment="1">
      <alignment vertical="top" wrapText="1"/>
    </xf>
    <xf numFmtId="0" fontId="82" fillId="0" borderId="156" xfId="0" applyFont="1" applyFill="1" applyBorder="1" applyAlignment="1">
      <alignment vertical="top" wrapText="1"/>
    </xf>
    <xf numFmtId="0" fontId="82" fillId="0" borderId="25" xfId="0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0" fontId="82" fillId="0" borderId="159" xfId="0" applyFont="1" applyFill="1" applyBorder="1" applyAlignment="1">
      <alignment horizontal="center" vertical="center" textRotation="255" wrapText="1"/>
    </xf>
    <xf numFmtId="0" fontId="85" fillId="0" borderId="51" xfId="0" applyFont="1" applyFill="1" applyBorder="1" applyAlignment="1">
      <alignment horizontal="center" vertical="center" wrapText="1"/>
    </xf>
    <xf numFmtId="0" fontId="85" fillId="0" borderId="58" xfId="0" applyFont="1" applyFill="1" applyBorder="1" applyAlignment="1">
      <alignment horizontal="center" vertical="center"/>
    </xf>
    <xf numFmtId="0" fontId="85" fillId="0" borderId="56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/>
    </xf>
    <xf numFmtId="0" fontId="82" fillId="0" borderId="49" xfId="0" applyFont="1" applyFill="1" applyBorder="1" applyAlignment="1">
      <alignment horizontal="center" vertical="center"/>
    </xf>
    <xf numFmtId="0" fontId="82" fillId="0" borderId="37" xfId="0" applyFont="1" applyFill="1" applyBorder="1" applyAlignment="1">
      <alignment horizontal="center" vertical="center"/>
    </xf>
    <xf numFmtId="0" fontId="84" fillId="0" borderId="46" xfId="68" applyFont="1" applyFill="1" applyBorder="1" applyAlignment="1">
      <alignment vertical="center" textRotation="255" wrapText="1"/>
      <protection/>
    </xf>
    <xf numFmtId="0" fontId="84" fillId="0" borderId="37" xfId="68" applyFont="1" applyFill="1" applyBorder="1" applyAlignment="1">
      <alignment vertical="center" textRotation="255" wrapText="1"/>
      <protection/>
    </xf>
    <xf numFmtId="38" fontId="82" fillId="0" borderId="34" xfId="50" applyFont="1" applyFill="1" applyBorder="1" applyAlignment="1" applyProtection="1">
      <alignment horizontal="center" vertical="center"/>
      <protection/>
    </xf>
    <xf numFmtId="38" fontId="82" fillId="0" borderId="31" xfId="50" applyFont="1" applyFill="1" applyBorder="1" applyAlignment="1" applyProtection="1">
      <alignment horizontal="center" vertical="center"/>
      <protection/>
    </xf>
    <xf numFmtId="0" fontId="84" fillId="0" borderId="38" xfId="68" applyFont="1" applyFill="1" applyBorder="1" applyAlignment="1">
      <alignment vertical="center" textRotation="255"/>
      <protection/>
    </xf>
    <xf numFmtId="0" fontId="84" fillId="0" borderId="45" xfId="68" applyFont="1" applyFill="1" applyBorder="1" applyAlignment="1">
      <alignment vertical="center" textRotation="255"/>
      <protection/>
    </xf>
    <xf numFmtId="0" fontId="84" fillId="0" borderId="41" xfId="68" applyFont="1" applyFill="1" applyBorder="1" applyAlignment="1">
      <alignment vertical="center" textRotation="255"/>
      <protection/>
    </xf>
    <xf numFmtId="0" fontId="84" fillId="0" borderId="57" xfId="68" applyFont="1" applyFill="1" applyBorder="1" applyAlignment="1">
      <alignment vertical="center"/>
      <protection/>
    </xf>
    <xf numFmtId="0" fontId="84" fillId="0" borderId="58" xfId="68" applyFont="1" applyFill="1" applyBorder="1" applyAlignment="1">
      <alignment vertical="center"/>
      <protection/>
    </xf>
    <xf numFmtId="38" fontId="84" fillId="0" borderId="56" xfId="50" applyFont="1" applyFill="1" applyBorder="1" applyAlignment="1">
      <alignment vertical="top" textRotation="255" wrapText="1"/>
    </xf>
    <xf numFmtId="38" fontId="84" fillId="0" borderId="29" xfId="50" applyFont="1" applyFill="1" applyBorder="1" applyAlignment="1">
      <alignment vertical="top" textRotation="255" wrapText="1"/>
    </xf>
    <xf numFmtId="38" fontId="84" fillId="0" borderId="14" xfId="50" applyFont="1" applyFill="1" applyBorder="1" applyAlignment="1">
      <alignment vertical="top" textRotation="255" wrapText="1"/>
    </xf>
    <xf numFmtId="38" fontId="84" fillId="0" borderId="56" xfId="50" applyFont="1" applyFill="1" applyBorder="1" applyAlignment="1">
      <alignment vertical="center" textRotation="255" wrapText="1"/>
    </xf>
    <xf numFmtId="38" fontId="84" fillId="0" borderId="29" xfId="50" applyFont="1" applyFill="1" applyBorder="1" applyAlignment="1">
      <alignment vertical="center" textRotation="255" wrapText="1"/>
    </xf>
    <xf numFmtId="38" fontId="84" fillId="0" borderId="14" xfId="50" applyFont="1" applyFill="1" applyBorder="1" applyAlignment="1">
      <alignment vertical="center" textRotation="255" wrapText="1"/>
    </xf>
    <xf numFmtId="0" fontId="84" fillId="0" borderId="38" xfId="68" applyFont="1" applyFill="1" applyBorder="1" applyAlignment="1">
      <alignment horizontal="center" vertical="center"/>
      <protection/>
    </xf>
    <xf numFmtId="0" fontId="84" fillId="0" borderId="11" xfId="68" applyFont="1" applyFill="1" applyBorder="1" applyAlignment="1">
      <alignment horizontal="center" vertical="center"/>
      <protection/>
    </xf>
    <xf numFmtId="0" fontId="84" fillId="0" borderId="133" xfId="68" applyFont="1" applyFill="1" applyBorder="1" applyAlignment="1">
      <alignment horizontal="center" vertical="center"/>
      <protection/>
    </xf>
    <xf numFmtId="0" fontId="84" fillId="0" borderId="52" xfId="68" applyFont="1" applyFill="1" applyBorder="1" applyAlignment="1">
      <alignment horizontal="center" vertical="center"/>
      <protection/>
    </xf>
    <xf numFmtId="0" fontId="84" fillId="0" borderId="83" xfId="68" applyFont="1" applyFill="1" applyBorder="1" applyAlignment="1">
      <alignment horizontal="center" vertical="center"/>
      <protection/>
    </xf>
    <xf numFmtId="0" fontId="84" fillId="0" borderId="135" xfId="68" applyFont="1" applyFill="1" applyBorder="1" applyAlignment="1">
      <alignment horizontal="center" vertical="center"/>
      <protection/>
    </xf>
    <xf numFmtId="0" fontId="84" fillId="0" borderId="23" xfId="68" applyFont="1" applyFill="1" applyBorder="1" applyAlignment="1">
      <alignment horizontal="center" vertical="center" wrapText="1"/>
      <protection/>
    </xf>
    <xf numFmtId="0" fontId="84" fillId="0" borderId="92" xfId="68" applyFont="1" applyFill="1" applyBorder="1" applyAlignment="1">
      <alignment horizontal="center" vertical="center" wrapText="1"/>
      <protection/>
    </xf>
    <xf numFmtId="0" fontId="84" fillId="0" borderId="22" xfId="68" applyFont="1" applyFill="1" applyBorder="1" applyAlignment="1">
      <alignment horizontal="distributed" vertical="center" textRotation="255" wrapText="1"/>
      <protection/>
    </xf>
    <xf numFmtId="0" fontId="84" fillId="0" borderId="14" xfId="68" applyFont="1" applyFill="1" applyBorder="1" applyAlignment="1">
      <alignment horizontal="distributed" vertical="center" textRotation="255" wrapText="1"/>
      <protection/>
    </xf>
    <xf numFmtId="0" fontId="84" fillId="0" borderId="22" xfId="68" applyFont="1" applyFill="1" applyBorder="1" applyAlignment="1">
      <alignment vertical="center" textRotation="255" wrapText="1"/>
      <protection/>
    </xf>
    <xf numFmtId="0" fontId="84" fillId="0" borderId="14" xfId="68" applyFont="1" applyFill="1" applyBorder="1" applyAlignment="1">
      <alignment vertical="center" textRotation="255" wrapText="1"/>
      <protection/>
    </xf>
    <xf numFmtId="0" fontId="84" fillId="0" borderId="22" xfId="68" applyFont="1" applyFill="1" applyBorder="1" applyAlignment="1">
      <alignment horizontal="center" vertical="center" textRotation="255" wrapText="1"/>
      <protection/>
    </xf>
    <xf numFmtId="0" fontId="84" fillId="0" borderId="14" xfId="68" applyFont="1" applyFill="1" applyBorder="1" applyAlignment="1">
      <alignment horizontal="center" vertical="center" textRotation="255" wrapText="1"/>
      <protection/>
    </xf>
    <xf numFmtId="0" fontId="84" fillId="0" borderId="22" xfId="68" applyFont="1" applyFill="1" applyBorder="1" applyAlignment="1">
      <alignment vertical="top" textRotation="255" wrapText="1"/>
      <protection/>
    </xf>
    <xf numFmtId="0" fontId="84" fillId="0" borderId="14" xfId="68" applyFont="1" applyFill="1" applyBorder="1" applyAlignment="1">
      <alignment vertical="top" textRotation="255" wrapText="1"/>
      <protection/>
    </xf>
    <xf numFmtId="0" fontId="0" fillId="0" borderId="11" xfId="0" applyFill="1" applyBorder="1" applyAlignment="1">
      <alignment shrinkToFit="1"/>
    </xf>
    <xf numFmtId="0" fontId="92" fillId="0" borderId="0" xfId="0" applyFont="1" applyFill="1" applyAlignment="1">
      <alignment horizontal="left" vertical="center" shrinkToFit="1"/>
    </xf>
    <xf numFmtId="0" fontId="83" fillId="0" borderId="31" xfId="0" applyFont="1" applyFill="1" applyBorder="1" applyAlignment="1">
      <alignment horizontal="left" vertical="center" shrinkToFit="1"/>
    </xf>
    <xf numFmtId="0" fontId="83" fillId="0" borderId="143" xfId="0" applyFont="1" applyFill="1" applyBorder="1" applyAlignment="1">
      <alignment vertical="top" wrapText="1"/>
    </xf>
    <xf numFmtId="0" fontId="83" fillId="0" borderId="168" xfId="0" applyFont="1" applyFill="1" applyBorder="1" applyAlignment="1">
      <alignment vertical="top" wrapText="1"/>
    </xf>
    <xf numFmtId="0" fontId="83" fillId="0" borderId="164" xfId="0" applyFont="1" applyFill="1" applyBorder="1" applyAlignment="1">
      <alignment vertical="top" wrapText="1"/>
    </xf>
    <xf numFmtId="0" fontId="83" fillId="0" borderId="171" xfId="0" applyFont="1" applyFill="1" applyBorder="1" applyAlignment="1">
      <alignment vertical="top" wrapText="1"/>
    </xf>
    <xf numFmtId="0" fontId="83" fillId="0" borderId="87" xfId="0" applyFont="1" applyFill="1" applyBorder="1" applyAlignment="1">
      <alignment horizontal="center" vertical="center" shrinkToFit="1"/>
    </xf>
    <xf numFmtId="0" fontId="83" fillId="0" borderId="66" xfId="0" applyFont="1" applyFill="1" applyBorder="1" applyAlignment="1">
      <alignment horizontal="center" vertical="center" shrinkToFit="1"/>
    </xf>
    <xf numFmtId="0" fontId="83" fillId="0" borderId="58" xfId="0" applyFont="1" applyFill="1" applyBorder="1" applyAlignment="1">
      <alignment horizontal="center" vertical="center" shrinkToFit="1"/>
    </xf>
    <xf numFmtId="0" fontId="83" fillId="0" borderId="51" xfId="0" applyFont="1" applyFill="1" applyBorder="1" applyAlignment="1">
      <alignment horizontal="center" vertical="center" shrinkToFit="1"/>
    </xf>
    <xf numFmtId="0" fontId="2" fillId="0" borderId="157" xfId="0" applyFont="1" applyFill="1" applyBorder="1" applyAlignment="1">
      <alignment horizontal="center" vertical="center" shrinkToFit="1"/>
    </xf>
    <xf numFmtId="0" fontId="2" fillId="0" borderId="141" xfId="0" applyFont="1" applyFill="1" applyBorder="1" applyAlignment="1">
      <alignment horizontal="center" vertical="center" shrinkToFit="1"/>
    </xf>
    <xf numFmtId="220" fontId="13" fillId="0" borderId="23" xfId="50" applyNumberFormat="1" applyFont="1" applyFill="1" applyBorder="1" applyAlignment="1">
      <alignment horizontal="center" vertical="center"/>
    </xf>
    <xf numFmtId="220" fontId="0" fillId="0" borderId="108" xfId="0" applyNumberFormat="1" applyFont="1" applyFill="1" applyBorder="1" applyAlignment="1">
      <alignment horizontal="center" vertical="center"/>
    </xf>
    <xf numFmtId="0" fontId="82" fillId="0" borderId="159" xfId="0" applyFont="1" applyBorder="1" applyAlignment="1">
      <alignment horizontal="center" vertical="center"/>
    </xf>
    <xf numFmtId="0" fontId="82" fillId="0" borderId="65" xfId="0" applyFont="1" applyBorder="1" applyAlignment="1">
      <alignment horizontal="center" vertical="center"/>
    </xf>
    <xf numFmtId="0" fontId="82" fillId="0" borderId="102" xfId="0" applyFont="1" applyBorder="1" applyAlignment="1">
      <alignment horizontal="center" vertical="center"/>
    </xf>
    <xf numFmtId="38" fontId="82" fillId="0" borderId="38" xfId="50" applyFont="1" applyBorder="1" applyAlignment="1">
      <alignment horizontal="center" vertical="center"/>
    </xf>
    <xf numFmtId="38" fontId="82" fillId="0" borderId="133" xfId="50" applyFont="1" applyBorder="1" applyAlignment="1">
      <alignment horizontal="center" vertical="center"/>
    </xf>
    <xf numFmtId="38" fontId="82" fillId="0" borderId="45" xfId="50" applyFont="1" applyBorder="1" applyAlignment="1">
      <alignment horizontal="center" vertical="center"/>
    </xf>
    <xf numFmtId="38" fontId="82" fillId="0" borderId="27" xfId="50" applyFont="1" applyBorder="1" applyAlignment="1">
      <alignment horizontal="center" vertical="center"/>
    </xf>
    <xf numFmtId="38" fontId="82" fillId="0" borderId="41" xfId="50" applyFont="1" applyBorder="1" applyAlignment="1">
      <alignment horizontal="center" vertical="center"/>
    </xf>
    <xf numFmtId="38" fontId="82" fillId="0" borderId="44" xfId="50" applyFont="1" applyBorder="1" applyAlignment="1">
      <alignment horizontal="center" vertical="center"/>
    </xf>
    <xf numFmtId="0" fontId="82" fillId="0" borderId="87" xfId="0" applyFont="1" applyBorder="1" applyAlignment="1">
      <alignment horizontal="center" vertical="center"/>
    </xf>
    <xf numFmtId="0" fontId="82" fillId="0" borderId="59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82" fillId="0" borderId="66" xfId="0" applyFont="1" applyBorder="1" applyAlignment="1">
      <alignment horizontal="center" vertical="center"/>
    </xf>
    <xf numFmtId="220" fontId="13" fillId="0" borderId="51" xfId="50" applyNumberFormat="1" applyFont="1" applyFill="1" applyBorder="1" applyAlignment="1">
      <alignment horizontal="center" vertical="center"/>
    </xf>
    <xf numFmtId="220" fontId="0" fillId="0" borderId="141" xfId="0" applyNumberFormat="1" applyFont="1" applyFill="1" applyBorder="1" applyAlignment="1">
      <alignment horizontal="center" vertical="center"/>
    </xf>
    <xf numFmtId="0" fontId="82" fillId="0" borderId="136" xfId="0" applyFont="1" applyFill="1" applyBorder="1" applyAlignment="1">
      <alignment vertical="center"/>
    </xf>
    <xf numFmtId="0" fontId="82" fillId="0" borderId="76" xfId="0" applyFont="1" applyFill="1" applyBorder="1" applyAlignment="1">
      <alignment vertical="center"/>
    </xf>
    <xf numFmtId="0" fontId="82" fillId="0" borderId="140" xfId="0" applyFont="1" applyFill="1" applyBorder="1" applyAlignment="1">
      <alignment horizontal="center" vertical="center"/>
    </xf>
    <xf numFmtId="0" fontId="82" fillId="0" borderId="90" xfId="0" applyFont="1" applyFill="1" applyBorder="1" applyAlignment="1">
      <alignment vertical="center"/>
    </xf>
    <xf numFmtId="0" fontId="82" fillId="0" borderId="70" xfId="0" applyFont="1" applyFill="1" applyBorder="1" applyAlignment="1">
      <alignment vertical="center"/>
    </xf>
    <xf numFmtId="0" fontId="82" fillId="0" borderId="34" xfId="0" applyFont="1" applyFill="1" applyBorder="1" applyAlignment="1">
      <alignment horizontal="center" vertical="center"/>
    </xf>
    <xf numFmtId="0" fontId="82" fillId="0" borderId="30" xfId="0" applyFont="1" applyFill="1" applyBorder="1" applyAlignment="1">
      <alignment horizontal="center" vertical="center"/>
    </xf>
    <xf numFmtId="0" fontId="82" fillId="0" borderId="137" xfId="0" applyFont="1" applyFill="1" applyBorder="1" applyAlignment="1">
      <alignment vertical="center"/>
    </xf>
    <xf numFmtId="0" fontId="86" fillId="0" borderId="132" xfId="0" applyFont="1" applyFill="1" applyBorder="1" applyAlignment="1">
      <alignment vertical="center"/>
    </xf>
    <xf numFmtId="0" fontId="82" fillId="0" borderId="87" xfId="0" applyFont="1" applyFill="1" applyBorder="1" applyAlignment="1">
      <alignment horizontal="center" vertical="center"/>
    </xf>
    <xf numFmtId="0" fontId="82" fillId="0" borderId="32" xfId="0" applyFont="1" applyFill="1" applyBorder="1" applyAlignment="1">
      <alignment horizontal="center" vertical="center"/>
    </xf>
    <xf numFmtId="0" fontId="82" fillId="0" borderId="159" xfId="0" applyFont="1" applyFill="1" applyBorder="1" applyAlignment="1">
      <alignment horizontal="center" vertical="center"/>
    </xf>
    <xf numFmtId="0" fontId="82" fillId="0" borderId="60" xfId="0" applyFont="1" applyFill="1" applyBorder="1" applyAlignment="1">
      <alignment horizontal="center" vertical="center"/>
    </xf>
    <xf numFmtId="0" fontId="82" fillId="0" borderId="51" xfId="0" applyFont="1" applyFill="1" applyBorder="1" applyAlignment="1">
      <alignment horizontal="center"/>
    </xf>
    <xf numFmtId="0" fontId="82" fillId="0" borderId="141" xfId="0" applyFont="1" applyFill="1" applyBorder="1" applyAlignment="1">
      <alignment horizontal="center"/>
    </xf>
    <xf numFmtId="0" fontId="82" fillId="0" borderId="130" xfId="0" applyFont="1" applyFill="1" applyBorder="1" applyAlignment="1">
      <alignment vertical="center"/>
    </xf>
    <xf numFmtId="0" fontId="82" fillId="0" borderId="120" xfId="0" applyFont="1" applyFill="1" applyBorder="1" applyAlignment="1">
      <alignment vertical="center"/>
    </xf>
    <xf numFmtId="0" fontId="86" fillId="0" borderId="70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9" xfId="0" applyFont="1" applyFill="1" applyBorder="1" applyAlignment="1">
      <alignment horizontal="center" vertical="center" textRotation="255" wrapText="1"/>
    </xf>
    <xf numFmtId="0" fontId="83" fillId="0" borderId="11" xfId="0" applyFont="1" applyFill="1" applyBorder="1" applyAlignment="1">
      <alignment vertical="center" shrinkToFit="1"/>
    </xf>
    <xf numFmtId="0" fontId="82" fillId="0" borderId="41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22" xfId="69" applyFont="1" applyFill="1" applyBorder="1" applyAlignment="1">
      <alignment vertical="top" wrapText="1"/>
      <protection/>
    </xf>
    <xf numFmtId="0" fontId="9" fillId="0" borderId="29" xfId="69" applyFont="1" applyFill="1" applyBorder="1" applyAlignment="1">
      <alignment vertical="top" wrapText="1"/>
      <protection/>
    </xf>
    <xf numFmtId="0" fontId="9" fillId="0" borderId="14" xfId="69" applyFont="1" applyFill="1" applyBorder="1" applyAlignment="1">
      <alignment vertical="top" wrapText="1"/>
      <protection/>
    </xf>
    <xf numFmtId="0" fontId="57" fillId="0" borderId="22" xfId="69" applyFont="1" applyFill="1" applyBorder="1" applyAlignment="1">
      <alignment vertical="center" wrapText="1" shrinkToFit="1"/>
      <protection/>
    </xf>
    <xf numFmtId="0" fontId="57" fillId="0" borderId="29" xfId="69" applyFont="1" applyFill="1" applyBorder="1" applyAlignment="1">
      <alignment vertical="center" wrapText="1" shrinkToFit="1"/>
      <protection/>
    </xf>
    <xf numFmtId="0" fontId="57" fillId="0" borderId="69" xfId="69" applyFont="1" applyFill="1" applyBorder="1" applyAlignment="1">
      <alignment vertical="center" wrapText="1" shrinkToFit="1"/>
      <protection/>
    </xf>
    <xf numFmtId="220" fontId="9" fillId="0" borderId="22" xfId="69" applyNumberFormat="1" applyFont="1" applyFill="1" applyBorder="1" applyAlignment="1">
      <alignment horizontal="right" vertical="center"/>
      <protection/>
    </xf>
    <xf numFmtId="220" fontId="9" fillId="0" borderId="29" xfId="69" applyNumberFormat="1" applyFont="1" applyFill="1" applyBorder="1" applyAlignment="1">
      <alignment horizontal="right" vertical="center"/>
      <protection/>
    </xf>
    <xf numFmtId="220" fontId="9" fillId="0" borderId="69" xfId="69" applyNumberFormat="1" applyFont="1" applyFill="1" applyBorder="1" applyAlignment="1">
      <alignment horizontal="right" vertical="center"/>
      <protection/>
    </xf>
    <xf numFmtId="220" fontId="9" fillId="0" borderId="46" xfId="69" applyNumberFormat="1" applyFont="1" applyFill="1" applyBorder="1" applyAlignment="1">
      <alignment vertical="center"/>
      <protection/>
    </xf>
    <xf numFmtId="220" fontId="9" fillId="0" borderId="55" xfId="69" applyNumberFormat="1" applyFont="1" applyFill="1" applyBorder="1" applyAlignment="1">
      <alignment vertical="center"/>
      <protection/>
    </xf>
    <xf numFmtId="220" fontId="9" fillId="0" borderId="68" xfId="69" applyNumberFormat="1" applyFont="1" applyFill="1" applyBorder="1" applyAlignment="1">
      <alignment vertical="center"/>
      <protection/>
    </xf>
    <xf numFmtId="0" fontId="9" fillId="0" borderId="22" xfId="69" applyFont="1" applyFill="1" applyBorder="1" applyAlignment="1">
      <alignment vertical="center" wrapText="1"/>
      <protection/>
    </xf>
    <xf numFmtId="0" fontId="9" fillId="0" borderId="29" xfId="69" applyFont="1" applyFill="1" applyBorder="1" applyAlignment="1">
      <alignment vertical="center" wrapText="1"/>
      <protection/>
    </xf>
    <xf numFmtId="0" fontId="9" fillId="0" borderId="69" xfId="69" applyFont="1" applyFill="1" applyBorder="1" applyAlignment="1">
      <alignment vertical="center" wrapText="1"/>
      <protection/>
    </xf>
    <xf numFmtId="0" fontId="9" fillId="0" borderId="61" xfId="69" applyFont="1" applyFill="1" applyBorder="1" applyAlignment="1">
      <alignment vertical="center"/>
      <protection/>
    </xf>
    <xf numFmtId="0" fontId="0" fillId="0" borderId="65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9" fillId="0" borderId="65" xfId="69" applyFont="1" applyFill="1" applyBorder="1" applyAlignment="1">
      <alignment vertical="center" shrinkToFit="1"/>
      <protection/>
    </xf>
    <xf numFmtId="0" fontId="0" fillId="0" borderId="65" xfId="0" applyFont="1" applyFill="1" applyBorder="1" applyAlignment="1">
      <alignment shrinkToFit="1"/>
    </xf>
    <xf numFmtId="0" fontId="0" fillId="0" borderId="102" xfId="0" applyFont="1" applyFill="1" applyBorder="1" applyAlignment="1">
      <alignment shrinkToFit="1"/>
    </xf>
    <xf numFmtId="0" fontId="9" fillId="0" borderId="61" xfId="69" applyFont="1" applyFill="1" applyBorder="1" applyAlignment="1">
      <alignment vertical="center" wrapText="1"/>
      <protection/>
    </xf>
    <xf numFmtId="0" fontId="9" fillId="0" borderId="22" xfId="69" applyFont="1" applyFill="1" applyBorder="1" applyAlignment="1">
      <alignment horizontal="left" vertical="center" wrapText="1"/>
      <protection/>
    </xf>
    <xf numFmtId="0" fontId="9" fillId="0" borderId="29" xfId="69" applyFont="1" applyFill="1" applyBorder="1" applyAlignment="1">
      <alignment horizontal="left" vertical="center" wrapText="1"/>
      <protection/>
    </xf>
    <xf numFmtId="0" fontId="9" fillId="0" borderId="69" xfId="69" applyFont="1" applyFill="1" applyBorder="1" applyAlignment="1">
      <alignment horizontal="left" vertical="center" wrapText="1"/>
      <protection/>
    </xf>
    <xf numFmtId="0" fontId="9" fillId="0" borderId="61" xfId="69" applyFont="1" applyFill="1" applyBorder="1" applyAlignment="1">
      <alignment vertical="center" shrinkToFit="1"/>
      <protection/>
    </xf>
    <xf numFmtId="0" fontId="0" fillId="0" borderId="60" xfId="0" applyFont="1" applyFill="1" applyBorder="1" applyAlignment="1">
      <alignment shrinkToFit="1"/>
    </xf>
    <xf numFmtId="0" fontId="9" fillId="0" borderId="29" xfId="69" applyFont="1" applyFill="1" applyBorder="1" applyAlignment="1">
      <alignment horizontal="left" vertical="top" wrapText="1"/>
      <protection/>
    </xf>
    <xf numFmtId="0" fontId="9" fillId="0" borderId="69" xfId="69" applyFont="1" applyFill="1" applyBorder="1" applyAlignment="1">
      <alignment horizontal="left" vertical="top" wrapText="1"/>
      <protection/>
    </xf>
    <xf numFmtId="0" fontId="9" fillId="0" borderId="28" xfId="69" applyFont="1" applyFill="1" applyBorder="1" applyAlignment="1">
      <alignment vertical="center" wrapText="1"/>
      <protection/>
    </xf>
    <xf numFmtId="0" fontId="0" fillId="0" borderId="45" xfId="0" applyFont="1" applyFill="1" applyBorder="1" applyAlignment="1">
      <alignment/>
    </xf>
    <xf numFmtId="0" fontId="9" fillId="0" borderId="10" xfId="69" applyFont="1" applyFill="1" applyBorder="1" applyAlignment="1">
      <alignment horizontal="left" vertical="center"/>
      <protection/>
    </xf>
    <xf numFmtId="0" fontId="9" fillId="0" borderId="0" xfId="69" applyFont="1" applyFill="1" applyAlignment="1">
      <alignment horizontal="left" vertical="center"/>
      <protection/>
    </xf>
    <xf numFmtId="0" fontId="9" fillId="0" borderId="159" xfId="69" applyFont="1" applyFill="1" applyBorder="1" applyAlignment="1">
      <alignment vertical="center"/>
      <protection/>
    </xf>
    <xf numFmtId="0" fontId="9" fillId="0" borderId="65" xfId="69" applyFont="1" applyFill="1" applyBorder="1" applyAlignment="1">
      <alignment vertical="center"/>
      <protection/>
    </xf>
    <xf numFmtId="0" fontId="0" fillId="0" borderId="102" xfId="0" applyFont="1" applyFill="1" applyBorder="1" applyAlignment="1">
      <alignment/>
    </xf>
    <xf numFmtId="220" fontId="9" fillId="0" borderId="46" xfId="69" applyNumberFormat="1" applyFont="1" applyFill="1" applyBorder="1" applyAlignment="1">
      <alignment horizontal="right" vertical="center"/>
      <protection/>
    </xf>
    <xf numFmtId="220" fontId="9" fillId="0" borderId="55" xfId="69" applyNumberFormat="1" applyFont="1" applyFill="1" applyBorder="1" applyAlignment="1">
      <alignment horizontal="right" vertical="center"/>
      <protection/>
    </xf>
    <xf numFmtId="220" fontId="9" fillId="0" borderId="68" xfId="69" applyNumberFormat="1" applyFont="1" applyFill="1" applyBorder="1" applyAlignment="1">
      <alignment horizontal="right" vertical="center"/>
      <protection/>
    </xf>
    <xf numFmtId="0" fontId="9" fillId="0" borderId="45" xfId="69" applyFont="1" applyFill="1" applyBorder="1" applyAlignment="1">
      <alignment vertical="center" wrapText="1"/>
      <protection/>
    </xf>
    <xf numFmtId="0" fontId="9" fillId="0" borderId="61" xfId="69" applyFont="1" applyFill="1" applyBorder="1" applyAlignment="1">
      <alignment horizontal="left" vertical="center"/>
      <protection/>
    </xf>
    <xf numFmtId="220" fontId="15" fillId="0" borderId="22" xfId="50" applyNumberFormat="1" applyFont="1" applyFill="1" applyBorder="1" applyAlignment="1" applyProtection="1">
      <alignment vertical="center"/>
      <protection locked="0"/>
    </xf>
    <xf numFmtId="220" fontId="15" fillId="0" borderId="69" xfId="50" applyNumberFormat="1" applyFont="1" applyFill="1" applyBorder="1" applyAlignment="1" applyProtection="1">
      <alignment vertical="center"/>
      <protection locked="0"/>
    </xf>
    <xf numFmtId="38" fontId="85" fillId="0" borderId="159" xfId="50" applyFont="1" applyFill="1" applyBorder="1" applyAlignment="1">
      <alignment horizontal="center" vertical="center"/>
    </xf>
    <xf numFmtId="38" fontId="85" fillId="0" borderId="102" xfId="50" applyFont="1" applyFill="1" applyBorder="1" applyAlignment="1">
      <alignment horizontal="center" vertical="center"/>
    </xf>
    <xf numFmtId="38" fontId="85" fillId="0" borderId="51" xfId="50" applyFont="1" applyFill="1" applyBorder="1" applyAlignment="1">
      <alignment horizontal="center" vertical="center" wrapText="1"/>
    </xf>
    <xf numFmtId="38" fontId="85" fillId="0" borderId="57" xfId="50" applyFont="1" applyFill="1" applyBorder="1" applyAlignment="1">
      <alignment horizontal="center" vertical="center"/>
    </xf>
    <xf numFmtId="38" fontId="85" fillId="0" borderId="58" xfId="50" applyFont="1" applyFill="1" applyBorder="1" applyAlignment="1">
      <alignment horizontal="center" vertical="center"/>
    </xf>
    <xf numFmtId="38" fontId="85" fillId="0" borderId="56" xfId="50" applyFont="1" applyFill="1" applyBorder="1" applyAlignment="1">
      <alignment horizontal="center" vertical="center" wrapText="1"/>
    </xf>
    <xf numFmtId="38" fontId="85" fillId="0" borderId="14" xfId="50" applyFont="1" applyFill="1" applyBorder="1" applyAlignment="1">
      <alignment horizontal="center" vertical="center"/>
    </xf>
    <xf numFmtId="38" fontId="85" fillId="0" borderId="32" xfId="50" applyFont="1" applyFill="1" applyBorder="1" applyAlignment="1">
      <alignment horizontal="center" vertical="center" wrapText="1"/>
    </xf>
    <xf numFmtId="38" fontId="85" fillId="0" borderId="13" xfId="50" applyFont="1" applyFill="1" applyBorder="1" applyAlignment="1">
      <alignment horizontal="center" vertical="center"/>
    </xf>
    <xf numFmtId="38" fontId="85" fillId="0" borderId="141" xfId="50" applyFont="1" applyFill="1" applyBorder="1" applyAlignment="1">
      <alignment horizontal="center" vertical="center"/>
    </xf>
    <xf numFmtId="220" fontId="15" fillId="0" borderId="22" xfId="50" applyNumberFormat="1" applyFont="1" applyFill="1" applyBorder="1" applyAlignment="1" applyProtection="1">
      <alignment horizontal="right" vertical="center"/>
      <protection locked="0"/>
    </xf>
    <xf numFmtId="220" fontId="0" fillId="0" borderId="29" xfId="0" applyNumberFormat="1" applyFont="1" applyFill="1" applyBorder="1" applyAlignment="1">
      <alignment vertical="center"/>
    </xf>
    <xf numFmtId="220" fontId="0" fillId="0" borderId="69" xfId="0" applyNumberFormat="1" applyFont="1" applyFill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5" xfId="66"/>
    <cellStyle name="標準_22 県内公共図書館１５" xfId="67"/>
    <cellStyle name="標準_8・14・15・16・18調査様式１５" xfId="68"/>
    <cellStyle name="標準_県内の登録博物館17" xfId="69"/>
    <cellStyle name="標準_青地域活動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9</xdr:row>
      <xdr:rowOff>38100</xdr:rowOff>
    </xdr:from>
    <xdr:to>
      <xdr:col>7</xdr:col>
      <xdr:colOff>209550</xdr:colOff>
      <xdr:row>9</xdr:row>
      <xdr:rowOff>266700</xdr:rowOff>
    </xdr:to>
    <xdr:sp>
      <xdr:nvSpPr>
        <xdr:cNvPr id="1" name="正方形/長方形 1"/>
        <xdr:cNvSpPr>
          <a:spLocks/>
        </xdr:cNvSpPr>
      </xdr:nvSpPr>
      <xdr:spPr>
        <a:xfrm>
          <a:off x="2514600" y="2533650"/>
          <a:ext cx="2667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7</xdr:col>
      <xdr:colOff>609600</xdr:colOff>
      <xdr:row>9</xdr:row>
      <xdr:rowOff>38100</xdr:rowOff>
    </xdr:from>
    <xdr:to>
      <xdr:col>8</xdr:col>
      <xdr:colOff>361950</xdr:colOff>
      <xdr:row>9</xdr:row>
      <xdr:rowOff>266700</xdr:rowOff>
    </xdr:to>
    <xdr:sp>
      <xdr:nvSpPr>
        <xdr:cNvPr id="2" name="正方形/長方形 2"/>
        <xdr:cNvSpPr>
          <a:spLocks/>
        </xdr:cNvSpPr>
      </xdr:nvSpPr>
      <xdr:spPr>
        <a:xfrm>
          <a:off x="3181350" y="2533650"/>
          <a:ext cx="4191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6</xdr:col>
      <xdr:colOff>495300</xdr:colOff>
      <xdr:row>11</xdr:row>
      <xdr:rowOff>38100</xdr:rowOff>
    </xdr:from>
    <xdr:to>
      <xdr:col>7</xdr:col>
      <xdr:colOff>228600</xdr:colOff>
      <xdr:row>11</xdr:row>
      <xdr:rowOff>266700</xdr:rowOff>
    </xdr:to>
    <xdr:sp>
      <xdr:nvSpPr>
        <xdr:cNvPr id="3" name="正方形/長方形 3"/>
        <xdr:cNvSpPr>
          <a:spLocks/>
        </xdr:cNvSpPr>
      </xdr:nvSpPr>
      <xdr:spPr>
        <a:xfrm>
          <a:off x="2524125" y="3219450"/>
          <a:ext cx="27622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7</xdr:col>
      <xdr:colOff>619125</xdr:colOff>
      <xdr:row>11</xdr:row>
      <xdr:rowOff>38100</xdr:rowOff>
    </xdr:from>
    <xdr:to>
      <xdr:col>8</xdr:col>
      <xdr:colOff>352425</xdr:colOff>
      <xdr:row>11</xdr:row>
      <xdr:rowOff>266700</xdr:rowOff>
    </xdr:to>
    <xdr:sp>
      <xdr:nvSpPr>
        <xdr:cNvPr id="4" name="正方形/長方形 5"/>
        <xdr:cNvSpPr>
          <a:spLocks/>
        </xdr:cNvSpPr>
      </xdr:nvSpPr>
      <xdr:spPr>
        <a:xfrm>
          <a:off x="3190875" y="3219450"/>
          <a:ext cx="40005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6</xdr:col>
      <xdr:colOff>485775</xdr:colOff>
      <xdr:row>5</xdr:row>
      <xdr:rowOff>38100</xdr:rowOff>
    </xdr:from>
    <xdr:to>
      <xdr:col>7</xdr:col>
      <xdr:colOff>219075</xdr:colOff>
      <xdr:row>5</xdr:row>
      <xdr:rowOff>266700</xdr:rowOff>
    </xdr:to>
    <xdr:sp>
      <xdr:nvSpPr>
        <xdr:cNvPr id="5" name="正方形/長方形 6"/>
        <xdr:cNvSpPr>
          <a:spLocks/>
        </xdr:cNvSpPr>
      </xdr:nvSpPr>
      <xdr:spPr>
        <a:xfrm>
          <a:off x="2514600" y="1162050"/>
          <a:ext cx="27622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7</xdr:col>
      <xdr:colOff>609600</xdr:colOff>
      <xdr:row>5</xdr:row>
      <xdr:rowOff>38100</xdr:rowOff>
    </xdr:from>
    <xdr:to>
      <xdr:col>8</xdr:col>
      <xdr:colOff>361950</xdr:colOff>
      <xdr:row>5</xdr:row>
      <xdr:rowOff>266700</xdr:rowOff>
    </xdr:to>
    <xdr:sp>
      <xdr:nvSpPr>
        <xdr:cNvPr id="6" name="正方形/長方形 7"/>
        <xdr:cNvSpPr>
          <a:spLocks/>
        </xdr:cNvSpPr>
      </xdr:nvSpPr>
      <xdr:spPr>
        <a:xfrm>
          <a:off x="3181350" y="1162050"/>
          <a:ext cx="4191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16</xdr:col>
      <xdr:colOff>581025</xdr:colOff>
      <xdr:row>11</xdr:row>
      <xdr:rowOff>38100</xdr:rowOff>
    </xdr:from>
    <xdr:to>
      <xdr:col>17</xdr:col>
      <xdr:colOff>219075</xdr:colOff>
      <xdr:row>11</xdr:row>
      <xdr:rowOff>266700</xdr:rowOff>
    </xdr:to>
    <xdr:sp>
      <xdr:nvSpPr>
        <xdr:cNvPr id="7" name="正方形/長方形 8"/>
        <xdr:cNvSpPr>
          <a:spLocks/>
        </xdr:cNvSpPr>
      </xdr:nvSpPr>
      <xdr:spPr>
        <a:xfrm>
          <a:off x="8934450" y="3219450"/>
          <a:ext cx="27622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15</xdr:col>
      <xdr:colOff>495300</xdr:colOff>
      <xdr:row>9</xdr:row>
      <xdr:rowOff>47625</xdr:rowOff>
    </xdr:from>
    <xdr:to>
      <xdr:col>16</xdr:col>
      <xdr:colOff>228600</xdr:colOff>
      <xdr:row>9</xdr:row>
      <xdr:rowOff>276225</xdr:rowOff>
    </xdr:to>
    <xdr:sp>
      <xdr:nvSpPr>
        <xdr:cNvPr id="8" name="正方形/長方形 9"/>
        <xdr:cNvSpPr>
          <a:spLocks/>
        </xdr:cNvSpPr>
      </xdr:nvSpPr>
      <xdr:spPr>
        <a:xfrm>
          <a:off x="8305800" y="2543175"/>
          <a:ext cx="27622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16</xdr:col>
      <xdr:colOff>590550</xdr:colOff>
      <xdr:row>5</xdr:row>
      <xdr:rowOff>47625</xdr:rowOff>
    </xdr:from>
    <xdr:to>
      <xdr:col>17</xdr:col>
      <xdr:colOff>228600</xdr:colOff>
      <xdr:row>5</xdr:row>
      <xdr:rowOff>276225</xdr:rowOff>
    </xdr:to>
    <xdr:sp>
      <xdr:nvSpPr>
        <xdr:cNvPr id="9" name="正方形/長方形 10"/>
        <xdr:cNvSpPr>
          <a:spLocks/>
        </xdr:cNvSpPr>
      </xdr:nvSpPr>
      <xdr:spPr>
        <a:xfrm>
          <a:off x="8943975" y="1171575"/>
          <a:ext cx="27622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15</xdr:col>
      <xdr:colOff>495300</xdr:colOff>
      <xdr:row>11</xdr:row>
      <xdr:rowOff>38100</xdr:rowOff>
    </xdr:from>
    <xdr:to>
      <xdr:col>16</xdr:col>
      <xdr:colOff>228600</xdr:colOff>
      <xdr:row>11</xdr:row>
      <xdr:rowOff>266700</xdr:rowOff>
    </xdr:to>
    <xdr:sp>
      <xdr:nvSpPr>
        <xdr:cNvPr id="10" name="正方形/長方形 11"/>
        <xdr:cNvSpPr>
          <a:spLocks/>
        </xdr:cNvSpPr>
      </xdr:nvSpPr>
      <xdr:spPr>
        <a:xfrm>
          <a:off x="8305800" y="3219450"/>
          <a:ext cx="27622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16</xdr:col>
      <xdr:colOff>581025</xdr:colOff>
      <xdr:row>9</xdr:row>
      <xdr:rowOff>47625</xdr:rowOff>
    </xdr:from>
    <xdr:to>
      <xdr:col>17</xdr:col>
      <xdr:colOff>219075</xdr:colOff>
      <xdr:row>9</xdr:row>
      <xdr:rowOff>276225</xdr:rowOff>
    </xdr:to>
    <xdr:sp>
      <xdr:nvSpPr>
        <xdr:cNvPr id="11" name="正方形/長方形 12"/>
        <xdr:cNvSpPr>
          <a:spLocks/>
        </xdr:cNvSpPr>
      </xdr:nvSpPr>
      <xdr:spPr>
        <a:xfrm>
          <a:off x="8934450" y="2543175"/>
          <a:ext cx="27622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15</xdr:col>
      <xdr:colOff>485775</xdr:colOff>
      <xdr:row>5</xdr:row>
      <xdr:rowOff>47625</xdr:rowOff>
    </xdr:from>
    <xdr:to>
      <xdr:col>16</xdr:col>
      <xdr:colOff>219075</xdr:colOff>
      <xdr:row>5</xdr:row>
      <xdr:rowOff>276225</xdr:rowOff>
    </xdr:to>
    <xdr:sp>
      <xdr:nvSpPr>
        <xdr:cNvPr id="12" name="正方形/長方形 13"/>
        <xdr:cNvSpPr>
          <a:spLocks/>
        </xdr:cNvSpPr>
      </xdr:nvSpPr>
      <xdr:spPr>
        <a:xfrm>
          <a:off x="8296275" y="1171575"/>
          <a:ext cx="27622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9050"/>
          <a:ext cx="14763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3</xdr:col>
      <xdr:colOff>9525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28575"/>
          <a:ext cx="14763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3</xdr:col>
      <xdr:colOff>9525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9050"/>
          <a:ext cx="14763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3</xdr:col>
      <xdr:colOff>9525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28575"/>
          <a:ext cx="14763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0"/>
          <a:ext cx="1095375" cy="1019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0" y="0"/>
          <a:ext cx="1095375" cy="1019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219075</xdr:rowOff>
    </xdr:to>
    <xdr:sp>
      <xdr:nvSpPr>
        <xdr:cNvPr id="3" name="Line 3"/>
        <xdr:cNvSpPr>
          <a:spLocks/>
        </xdr:cNvSpPr>
      </xdr:nvSpPr>
      <xdr:spPr>
        <a:xfrm>
          <a:off x="0" y="0"/>
          <a:ext cx="1095375" cy="1019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219075</xdr:rowOff>
    </xdr:to>
    <xdr:sp>
      <xdr:nvSpPr>
        <xdr:cNvPr id="4" name="Line 4"/>
        <xdr:cNvSpPr>
          <a:spLocks/>
        </xdr:cNvSpPr>
      </xdr:nvSpPr>
      <xdr:spPr>
        <a:xfrm>
          <a:off x="0" y="0"/>
          <a:ext cx="1095375" cy="1019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219075</xdr:rowOff>
    </xdr:to>
    <xdr:sp>
      <xdr:nvSpPr>
        <xdr:cNvPr id="5" name="Line 5"/>
        <xdr:cNvSpPr>
          <a:spLocks/>
        </xdr:cNvSpPr>
      </xdr:nvSpPr>
      <xdr:spPr>
        <a:xfrm>
          <a:off x="0" y="0"/>
          <a:ext cx="1095375" cy="1019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219075</xdr:rowOff>
    </xdr:to>
    <xdr:sp>
      <xdr:nvSpPr>
        <xdr:cNvPr id="6" name="Line 6"/>
        <xdr:cNvSpPr>
          <a:spLocks/>
        </xdr:cNvSpPr>
      </xdr:nvSpPr>
      <xdr:spPr>
        <a:xfrm>
          <a:off x="0" y="0"/>
          <a:ext cx="1095375" cy="1019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525"/>
          <a:ext cx="123825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3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9525"/>
          <a:ext cx="123825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3</xdr:col>
      <xdr:colOff>9525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9525"/>
          <a:ext cx="123825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3</xdr:col>
      <xdr:colOff>9525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9525"/>
          <a:ext cx="123825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19</xdr:row>
      <xdr:rowOff>76200</xdr:rowOff>
    </xdr:from>
    <xdr:to>
      <xdr:col>4</xdr:col>
      <xdr:colOff>390525</xdr:colOff>
      <xdr:row>20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38350" y="619125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276225</xdr:colOff>
      <xdr:row>8</xdr:row>
      <xdr:rowOff>238125</xdr:rowOff>
    </xdr:to>
    <xdr:sp>
      <xdr:nvSpPr>
        <xdr:cNvPr id="1" name="正方形/長方形 3"/>
        <xdr:cNvSpPr>
          <a:spLocks/>
        </xdr:cNvSpPr>
      </xdr:nvSpPr>
      <xdr:spPr>
        <a:xfrm>
          <a:off x="1724025" y="2181225"/>
          <a:ext cx="276225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276225</xdr:colOff>
      <xdr:row>4</xdr:row>
      <xdr:rowOff>238125</xdr:rowOff>
    </xdr:to>
    <xdr:sp>
      <xdr:nvSpPr>
        <xdr:cNvPr id="2" name="正方形/長方形 4"/>
        <xdr:cNvSpPr>
          <a:spLocks/>
        </xdr:cNvSpPr>
      </xdr:nvSpPr>
      <xdr:spPr>
        <a:xfrm>
          <a:off x="1724025" y="1076325"/>
          <a:ext cx="276225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276225</xdr:colOff>
      <xdr:row>14</xdr:row>
      <xdr:rowOff>238125</xdr:rowOff>
    </xdr:to>
    <xdr:sp>
      <xdr:nvSpPr>
        <xdr:cNvPr id="3" name="正方形/長方形 6"/>
        <xdr:cNvSpPr>
          <a:spLocks/>
        </xdr:cNvSpPr>
      </xdr:nvSpPr>
      <xdr:spPr>
        <a:xfrm>
          <a:off x="5219700" y="3838575"/>
          <a:ext cx="276225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iba-nobuhiko\AppData\Local\Microsoft\Windows\Temporary%20Internet%20Files\Content.IE5\9HPK3THS\00%2026shakai(no.01-21)09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目次 "/>
      <sheetName val="1教育費 "/>
      <sheetName val="2職員"/>
      <sheetName val="3委員"/>
      <sheetName val="4ボランティア"/>
      <sheetName val="5公民館運営審議会"/>
      <sheetName val="6公民館施設・体制"/>
      <sheetName val="7公民館利用状況"/>
      <sheetName val="8青年"/>
      <sheetName val="9女性"/>
      <sheetName val="10成人"/>
      <sheetName val="11家庭"/>
      <sheetName val="12高齢者"/>
      <sheetName val="13青少年"/>
      <sheetName val="14子ども会"/>
      <sheetName val="15ボーイ "/>
      <sheetName val="15ガール "/>
      <sheetName val="16青年団"/>
      <sheetName val="16（2）青年団以外"/>
      <sheetName val="17婦人団体"/>
      <sheetName val="18愛護班"/>
      <sheetName val="19国公立幼小中ＰＴＡ "/>
      <sheetName val="19ＰＴＡ（高校） "/>
      <sheetName val="19ＰＴＡ（その他）"/>
      <sheetName val="20おやじの会"/>
      <sheetName val="21博物館"/>
      <sheetName val="22図書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view="pageBreakPreview" zoomScaleSheetLayoutView="100" zoomScalePageLayoutView="0" workbookViewId="0" topLeftCell="A10">
      <selection activeCell="H18" sqref="H18"/>
    </sheetView>
  </sheetViews>
  <sheetFormatPr defaultColWidth="9.00390625" defaultRowHeight="13.5"/>
  <sheetData>
    <row r="1" ht="18.75">
      <c r="A1" s="153" t="s">
        <v>878</v>
      </c>
    </row>
    <row r="2" ht="18.75">
      <c r="A2" s="153"/>
    </row>
    <row r="3" ht="24">
      <c r="A3" s="154"/>
    </row>
    <row r="4" spans="1:5" ht="24">
      <c r="A4" s="154" t="s">
        <v>14</v>
      </c>
      <c r="E4" t="s">
        <v>14</v>
      </c>
    </row>
    <row r="5" spans="1:2" ht="24">
      <c r="A5" s="154"/>
      <c r="B5" t="s">
        <v>14</v>
      </c>
    </row>
    <row r="6" spans="1:3" ht="24">
      <c r="A6" s="154" t="s">
        <v>4</v>
      </c>
      <c r="C6" t="s">
        <v>14</v>
      </c>
    </row>
    <row r="7" ht="24">
      <c r="A7" s="154"/>
    </row>
    <row r="8" ht="24">
      <c r="A8" s="154"/>
    </row>
    <row r="9" ht="24">
      <c r="A9" s="154"/>
    </row>
    <row r="10" spans="1:5" ht="24">
      <c r="A10" s="154"/>
      <c r="E10" t="s">
        <v>4</v>
      </c>
    </row>
    <row r="11" ht="24">
      <c r="A11" s="154"/>
    </row>
    <row r="12" ht="24">
      <c r="A12" s="154"/>
    </row>
    <row r="13" spans="1:9" ht="51" customHeight="1">
      <c r="A13" s="1276" t="s">
        <v>696</v>
      </c>
      <c r="B13" s="1277"/>
      <c r="C13" s="1277"/>
      <c r="D13" s="1277"/>
      <c r="E13" s="1277"/>
      <c r="F13" s="1277"/>
      <c r="G13" s="1277"/>
      <c r="H13" s="1277"/>
      <c r="I13" s="1277"/>
    </row>
    <row r="14" spans="1:9" ht="42">
      <c r="A14" s="1278" t="s">
        <v>697</v>
      </c>
      <c r="B14" s="1279"/>
      <c r="C14" s="1279"/>
      <c r="D14" s="1279"/>
      <c r="E14" s="1279"/>
      <c r="F14" s="1279"/>
      <c r="G14" s="1279"/>
      <c r="H14" s="1279"/>
      <c r="I14" s="1279"/>
    </row>
    <row r="15" ht="24">
      <c r="A15" s="154"/>
    </row>
    <row r="16" ht="24">
      <c r="A16" s="154"/>
    </row>
    <row r="17" ht="24">
      <c r="A17" s="154"/>
    </row>
    <row r="18" ht="24">
      <c r="A18" s="154"/>
    </row>
    <row r="19" ht="24">
      <c r="A19" s="154"/>
    </row>
    <row r="20" ht="24">
      <c r="A20" s="154"/>
    </row>
    <row r="21" spans="1:31" ht="24">
      <c r="A21" s="154"/>
      <c r="AE21" s="18"/>
    </row>
    <row r="22" ht="24">
      <c r="A22" s="154"/>
    </row>
    <row r="23" spans="1:18" ht="24">
      <c r="A23" s="154"/>
      <c r="R23" s="18"/>
    </row>
    <row r="24" ht="24">
      <c r="A24" s="154"/>
    </row>
    <row r="25" ht="24">
      <c r="A25" s="154"/>
    </row>
    <row r="26" ht="24">
      <c r="A26" s="154"/>
    </row>
    <row r="27" ht="24">
      <c r="A27" s="154"/>
    </row>
    <row r="28" spans="1:9" ht="25.5">
      <c r="A28" s="1280" t="s">
        <v>523</v>
      </c>
      <c r="B28" s="1281"/>
      <c r="C28" s="1281"/>
      <c r="D28" s="1281"/>
      <c r="E28" s="1281"/>
      <c r="F28" s="1281"/>
      <c r="G28" s="1281"/>
      <c r="H28" s="1281"/>
      <c r="I28" s="1281"/>
    </row>
    <row r="29" ht="14.25">
      <c r="A29" s="155"/>
    </row>
  </sheetData>
  <sheetProtection/>
  <mergeCells count="3">
    <mergeCell ref="A13:I13"/>
    <mergeCell ref="A14:I14"/>
    <mergeCell ref="A28:I28"/>
  </mergeCells>
  <printOptions/>
  <pageMargins left="1.14" right="0.28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8"/>
  <sheetViews>
    <sheetView showZeros="0" view="pageBreakPreview" zoomScaleSheetLayoutView="100" zoomScalePageLayoutView="0" workbookViewId="0" topLeftCell="A1">
      <pane ySplit="3" topLeftCell="A4" activePane="bottomLeft" state="frozen"/>
      <selection pane="topLeft" activeCell="N6" sqref="N6"/>
      <selection pane="bottomLeft" activeCell="N6" sqref="N6"/>
    </sheetView>
  </sheetViews>
  <sheetFormatPr defaultColWidth="9.00390625" defaultRowHeight="13.5"/>
  <cols>
    <col min="1" max="1" width="4.125" style="82" customWidth="1"/>
    <col min="2" max="2" width="2.50390625" style="82" customWidth="1"/>
    <col min="3" max="3" width="10.75390625" style="82" customWidth="1"/>
    <col min="4" max="4" width="6.25390625" style="89" customWidth="1"/>
    <col min="5" max="5" width="8.625" style="89" customWidth="1"/>
    <col min="6" max="7" width="6.25390625" style="89" customWidth="1"/>
    <col min="8" max="8" width="6.50390625" style="89" customWidth="1"/>
    <col min="9" max="11" width="9.625" style="89" customWidth="1"/>
    <col min="12" max="12" width="6.25390625" style="89" customWidth="1"/>
    <col min="13" max="13" width="8.625" style="89" customWidth="1"/>
    <col min="14" max="14" width="6.375" style="89" customWidth="1"/>
    <col min="15" max="16" width="6.50390625" style="89" customWidth="1"/>
    <col min="17" max="19" width="9.625" style="89" customWidth="1"/>
    <col min="20" max="16384" width="9.00390625" style="18" customWidth="1"/>
  </cols>
  <sheetData>
    <row r="1" spans="1:19" ht="25.5" customHeight="1">
      <c r="A1" s="1803" t="s">
        <v>259</v>
      </c>
      <c r="B1" s="1359"/>
      <c r="C1" s="1360"/>
      <c r="D1" s="1807" t="s">
        <v>931</v>
      </c>
      <c r="E1" s="1808"/>
      <c r="F1" s="1808"/>
      <c r="G1" s="1808"/>
      <c r="H1" s="1808"/>
      <c r="I1" s="1808"/>
      <c r="J1" s="1808"/>
      <c r="K1" s="1809"/>
      <c r="L1" s="1807" t="s">
        <v>932</v>
      </c>
      <c r="M1" s="1808"/>
      <c r="N1" s="1808"/>
      <c r="O1" s="1808"/>
      <c r="P1" s="1808"/>
      <c r="Q1" s="1808"/>
      <c r="R1" s="1808"/>
      <c r="S1" s="1809"/>
    </row>
    <row r="2" spans="1:19" ht="25.5" customHeight="1">
      <c r="A2" s="1804"/>
      <c r="B2" s="1805"/>
      <c r="C2" s="1806"/>
      <c r="D2" s="1810" t="s">
        <v>190</v>
      </c>
      <c r="E2" s="81" t="s">
        <v>201</v>
      </c>
      <c r="F2" s="1812" t="s">
        <v>768</v>
      </c>
      <c r="G2" s="1812"/>
      <c r="H2" s="1812"/>
      <c r="I2" s="1800" t="s">
        <v>78</v>
      </c>
      <c r="J2" s="1801"/>
      <c r="K2" s="1802"/>
      <c r="L2" s="1810" t="s">
        <v>190</v>
      </c>
      <c r="M2" s="81" t="s">
        <v>201</v>
      </c>
      <c r="N2" s="1812" t="s">
        <v>768</v>
      </c>
      <c r="O2" s="1812"/>
      <c r="P2" s="1812"/>
      <c r="Q2" s="1800" t="s">
        <v>78</v>
      </c>
      <c r="R2" s="1801"/>
      <c r="S2" s="1802"/>
    </row>
    <row r="3" spans="1:19" ht="25.5" customHeight="1" thickBot="1">
      <c r="A3" s="1361"/>
      <c r="B3" s="1362"/>
      <c r="C3" s="1363"/>
      <c r="D3" s="1811"/>
      <c r="E3" s="90" t="s">
        <v>202</v>
      </c>
      <c r="F3" s="91" t="s">
        <v>192</v>
      </c>
      <c r="G3" s="91" t="s">
        <v>193</v>
      </c>
      <c r="H3" s="91" t="s">
        <v>96</v>
      </c>
      <c r="I3" s="91" t="s">
        <v>90</v>
      </c>
      <c r="J3" s="91" t="s">
        <v>55</v>
      </c>
      <c r="K3" s="92" t="s">
        <v>96</v>
      </c>
      <c r="L3" s="1811"/>
      <c r="M3" s="90" t="s">
        <v>202</v>
      </c>
      <c r="N3" s="91" t="s">
        <v>192</v>
      </c>
      <c r="O3" s="91" t="s">
        <v>193</v>
      </c>
      <c r="P3" s="91" t="s">
        <v>96</v>
      </c>
      <c r="Q3" s="91" t="s">
        <v>90</v>
      </c>
      <c r="R3" s="91" t="s">
        <v>55</v>
      </c>
      <c r="S3" s="92" t="s">
        <v>96</v>
      </c>
    </row>
    <row r="4" spans="1:19" s="93" customFormat="1" ht="27" customHeight="1" thickBot="1">
      <c r="A4" s="1793" t="s">
        <v>203</v>
      </c>
      <c r="B4" s="1794"/>
      <c r="C4" s="1795"/>
      <c r="D4" s="694">
        <f aca="true" t="shared" si="0" ref="D4:K4">+D10+D17+D27</f>
        <v>332</v>
      </c>
      <c r="E4" s="694">
        <f t="shared" si="0"/>
        <v>731</v>
      </c>
      <c r="F4" s="695">
        <f t="shared" si="0"/>
        <v>2125</v>
      </c>
      <c r="G4" s="695">
        <f t="shared" si="0"/>
        <v>3308</v>
      </c>
      <c r="H4" s="695">
        <f t="shared" si="0"/>
        <v>5433</v>
      </c>
      <c r="I4" s="695">
        <f t="shared" si="0"/>
        <v>2519</v>
      </c>
      <c r="J4" s="695">
        <f t="shared" si="0"/>
        <v>287</v>
      </c>
      <c r="K4" s="696">
        <f t="shared" si="0"/>
        <v>2806</v>
      </c>
      <c r="L4" s="694">
        <f aca="true" t="shared" si="1" ref="L4:S4">+L10+L17+L27</f>
        <v>272</v>
      </c>
      <c r="M4" s="694">
        <f t="shared" si="1"/>
        <v>591</v>
      </c>
      <c r="N4" s="695">
        <f t="shared" si="1"/>
        <v>1639</v>
      </c>
      <c r="O4" s="695">
        <f t="shared" si="1"/>
        <v>2166</v>
      </c>
      <c r="P4" s="695">
        <f t="shared" si="1"/>
        <v>3805</v>
      </c>
      <c r="Q4" s="695">
        <f t="shared" si="1"/>
        <v>2389</v>
      </c>
      <c r="R4" s="695">
        <f t="shared" si="1"/>
        <v>69</v>
      </c>
      <c r="S4" s="696">
        <f t="shared" si="1"/>
        <v>2458</v>
      </c>
    </row>
    <row r="5" spans="1:19" ht="27" customHeight="1">
      <c r="A5" s="1796" t="s">
        <v>10</v>
      </c>
      <c r="B5" s="1386" t="s">
        <v>260</v>
      </c>
      <c r="C5" s="1797"/>
      <c r="D5" s="881" t="s">
        <v>795</v>
      </c>
      <c r="E5" s="698"/>
      <c r="F5" s="698"/>
      <c r="G5" s="698"/>
      <c r="H5" s="698">
        <f>F5+G5</f>
        <v>0</v>
      </c>
      <c r="I5" s="698"/>
      <c r="J5" s="698"/>
      <c r="K5" s="699">
        <f>SUM(I5:J5)</f>
        <v>0</v>
      </c>
      <c r="L5" s="881" t="s">
        <v>867</v>
      </c>
      <c r="M5" s="698"/>
      <c r="N5" s="698"/>
      <c r="O5" s="698"/>
      <c r="P5" s="698">
        <f>N5+O5</f>
        <v>0</v>
      </c>
      <c r="Q5" s="698"/>
      <c r="R5" s="698"/>
      <c r="S5" s="699">
        <f>SUM(Q5:R5)</f>
        <v>0</v>
      </c>
    </row>
    <row r="6" spans="1:19" ht="27" customHeight="1">
      <c r="A6" s="1790"/>
      <c r="B6" s="1371" t="s">
        <v>97</v>
      </c>
      <c r="C6" s="1351"/>
      <c r="D6" s="697">
        <v>19</v>
      </c>
      <c r="E6" s="698">
        <v>46</v>
      </c>
      <c r="F6" s="698">
        <v>76</v>
      </c>
      <c r="G6" s="698">
        <v>92</v>
      </c>
      <c r="H6" s="700">
        <f>F6+G6</f>
        <v>168</v>
      </c>
      <c r="I6" s="700">
        <v>108</v>
      </c>
      <c r="J6" s="700"/>
      <c r="K6" s="701">
        <f>SUM(I6:J6)</f>
        <v>108</v>
      </c>
      <c r="L6" s="697">
        <v>14</v>
      </c>
      <c r="M6" s="698">
        <v>35</v>
      </c>
      <c r="N6" s="698">
        <v>92</v>
      </c>
      <c r="O6" s="698">
        <v>112</v>
      </c>
      <c r="P6" s="700">
        <f>N6+O6</f>
        <v>204</v>
      </c>
      <c r="Q6" s="700">
        <v>124</v>
      </c>
      <c r="R6" s="700"/>
      <c r="S6" s="701">
        <f>SUM(Q6:R6)</f>
        <v>124</v>
      </c>
    </row>
    <row r="7" spans="1:19" ht="27" customHeight="1">
      <c r="A7" s="1790"/>
      <c r="B7" s="1371" t="s">
        <v>261</v>
      </c>
      <c r="C7" s="1351"/>
      <c r="D7" s="702">
        <v>17</v>
      </c>
      <c r="E7" s="700">
        <v>60</v>
      </c>
      <c r="F7" s="700">
        <v>105</v>
      </c>
      <c r="G7" s="700">
        <v>94</v>
      </c>
      <c r="H7" s="700">
        <f>F7+G7</f>
        <v>199</v>
      </c>
      <c r="I7" s="700">
        <v>30</v>
      </c>
      <c r="J7" s="700"/>
      <c r="K7" s="701">
        <f>SUM(I7:J7)</f>
        <v>30</v>
      </c>
      <c r="L7" s="702">
        <v>18</v>
      </c>
      <c r="M7" s="700">
        <v>60</v>
      </c>
      <c r="N7" s="700">
        <v>106</v>
      </c>
      <c r="O7" s="700">
        <v>86</v>
      </c>
      <c r="P7" s="700">
        <f>N7+O7</f>
        <v>192</v>
      </c>
      <c r="Q7" s="700">
        <v>30</v>
      </c>
      <c r="R7" s="700"/>
      <c r="S7" s="701">
        <f>SUM(Q7:R7)</f>
        <v>30</v>
      </c>
    </row>
    <row r="8" spans="1:19" ht="27" customHeight="1">
      <c r="A8" s="1790"/>
      <c r="B8" s="1371" t="s">
        <v>597</v>
      </c>
      <c r="C8" s="1351"/>
      <c r="D8" s="702">
        <v>40</v>
      </c>
      <c r="E8" s="700">
        <v>53</v>
      </c>
      <c r="F8" s="700">
        <v>125</v>
      </c>
      <c r="G8" s="700">
        <v>290</v>
      </c>
      <c r="H8" s="700">
        <f>F8+G8</f>
        <v>415</v>
      </c>
      <c r="I8" s="700">
        <v>306</v>
      </c>
      <c r="J8" s="700">
        <v>0</v>
      </c>
      <c r="K8" s="701">
        <f>SUM(I8:J8)</f>
        <v>306</v>
      </c>
      <c r="L8" s="702">
        <v>25</v>
      </c>
      <c r="M8" s="700">
        <v>38</v>
      </c>
      <c r="N8" s="700">
        <v>125</v>
      </c>
      <c r="O8" s="700">
        <v>200</v>
      </c>
      <c r="P8" s="700">
        <f>N8+O8</f>
        <v>325</v>
      </c>
      <c r="Q8" s="700">
        <v>294</v>
      </c>
      <c r="R8" s="700">
        <v>0</v>
      </c>
      <c r="S8" s="701">
        <f>SUM(Q8:R8)</f>
        <v>294</v>
      </c>
    </row>
    <row r="9" spans="1:19" ht="27" customHeight="1" thickBot="1">
      <c r="A9" s="1790"/>
      <c r="B9" s="1798" t="s">
        <v>101</v>
      </c>
      <c r="C9" s="1799"/>
      <c r="D9" s="925" t="s">
        <v>795</v>
      </c>
      <c r="E9" s="926"/>
      <c r="F9" s="926"/>
      <c r="G9" s="926"/>
      <c r="H9" s="926">
        <f>F9+G9</f>
        <v>0</v>
      </c>
      <c r="I9" s="926"/>
      <c r="J9" s="926"/>
      <c r="K9" s="927">
        <f>SUM(I9:J9)</f>
        <v>0</v>
      </c>
      <c r="L9" s="925" t="s">
        <v>867</v>
      </c>
      <c r="M9" s="926"/>
      <c r="N9" s="926"/>
      <c r="O9" s="926"/>
      <c r="P9" s="926">
        <f>N9+O9</f>
        <v>0</v>
      </c>
      <c r="Q9" s="926"/>
      <c r="R9" s="926"/>
      <c r="S9" s="927">
        <f>SUM(Q9:R9)</f>
        <v>0</v>
      </c>
    </row>
    <row r="10" spans="1:19" ht="27" customHeight="1" thickBot="1" thickTop="1">
      <c r="A10" s="1792"/>
      <c r="B10" s="920"/>
      <c r="C10" s="921" t="s">
        <v>20</v>
      </c>
      <c r="D10" s="922">
        <f aca="true" t="shared" si="2" ref="D10:K10">SUM(D5:D9)</f>
        <v>76</v>
      </c>
      <c r="E10" s="923">
        <f t="shared" si="2"/>
        <v>159</v>
      </c>
      <c r="F10" s="923">
        <f t="shared" si="2"/>
        <v>306</v>
      </c>
      <c r="G10" s="923">
        <f t="shared" si="2"/>
        <v>476</v>
      </c>
      <c r="H10" s="923">
        <f t="shared" si="2"/>
        <v>782</v>
      </c>
      <c r="I10" s="923">
        <f t="shared" si="2"/>
        <v>444</v>
      </c>
      <c r="J10" s="923">
        <f t="shared" si="2"/>
        <v>0</v>
      </c>
      <c r="K10" s="924">
        <f t="shared" si="2"/>
        <v>444</v>
      </c>
      <c r="L10" s="922">
        <f aca="true" t="shared" si="3" ref="L10:S10">SUM(L5:L9)</f>
        <v>57</v>
      </c>
      <c r="M10" s="923">
        <f t="shared" si="3"/>
        <v>133</v>
      </c>
      <c r="N10" s="923">
        <f t="shared" si="3"/>
        <v>323</v>
      </c>
      <c r="O10" s="923">
        <f t="shared" si="3"/>
        <v>398</v>
      </c>
      <c r="P10" s="923">
        <f t="shared" si="3"/>
        <v>721</v>
      </c>
      <c r="Q10" s="923">
        <f t="shared" si="3"/>
        <v>448</v>
      </c>
      <c r="R10" s="923">
        <f t="shared" si="3"/>
        <v>0</v>
      </c>
      <c r="S10" s="924">
        <f t="shared" si="3"/>
        <v>448</v>
      </c>
    </row>
    <row r="11" spans="1:19" ht="27" customHeight="1">
      <c r="A11" s="1785" t="s">
        <v>9</v>
      </c>
      <c r="B11" s="1369" t="s">
        <v>22</v>
      </c>
      <c r="C11" s="1788"/>
      <c r="D11" s="703">
        <v>135</v>
      </c>
      <c r="E11" s="704">
        <v>318</v>
      </c>
      <c r="F11" s="704">
        <v>1398</v>
      </c>
      <c r="G11" s="704">
        <v>2079</v>
      </c>
      <c r="H11" s="700">
        <f aca="true" t="shared" si="4" ref="H11:H16">F11+G11</f>
        <v>3477</v>
      </c>
      <c r="I11" s="704">
        <v>1041</v>
      </c>
      <c r="J11" s="704">
        <v>287</v>
      </c>
      <c r="K11" s="705">
        <f aca="true" t="shared" si="5" ref="K11:K16">SUM(I11:J11)</f>
        <v>1328</v>
      </c>
      <c r="L11" s="703">
        <v>104</v>
      </c>
      <c r="M11" s="704">
        <v>222</v>
      </c>
      <c r="N11" s="704">
        <v>936</v>
      </c>
      <c r="O11" s="704">
        <v>1039</v>
      </c>
      <c r="P11" s="700">
        <f aca="true" t="shared" si="6" ref="P11:P16">N11+O11</f>
        <v>1975</v>
      </c>
      <c r="Q11" s="704">
        <v>881</v>
      </c>
      <c r="R11" s="704">
        <v>49</v>
      </c>
      <c r="S11" s="705">
        <f aca="true" t="shared" si="7" ref="S11:S16">SUM(Q11:R11)</f>
        <v>930</v>
      </c>
    </row>
    <row r="12" spans="1:19" ht="27" customHeight="1">
      <c r="A12" s="1790"/>
      <c r="B12" s="1371" t="s">
        <v>23</v>
      </c>
      <c r="C12" s="1351"/>
      <c r="D12" s="702">
        <v>22</v>
      </c>
      <c r="E12" s="700">
        <v>22</v>
      </c>
      <c r="F12" s="700">
        <v>164</v>
      </c>
      <c r="G12" s="700">
        <v>111</v>
      </c>
      <c r="H12" s="700">
        <f t="shared" si="4"/>
        <v>275</v>
      </c>
      <c r="I12" s="706">
        <v>572</v>
      </c>
      <c r="J12" s="700"/>
      <c r="K12" s="701">
        <f t="shared" si="5"/>
        <v>572</v>
      </c>
      <c r="L12" s="702">
        <v>22</v>
      </c>
      <c r="M12" s="700">
        <v>22</v>
      </c>
      <c r="N12" s="700">
        <v>180</v>
      </c>
      <c r="O12" s="700">
        <v>150</v>
      </c>
      <c r="P12" s="700">
        <f t="shared" si="6"/>
        <v>330</v>
      </c>
      <c r="Q12" s="706">
        <v>572</v>
      </c>
      <c r="R12" s="700"/>
      <c r="S12" s="701">
        <f t="shared" si="7"/>
        <v>572</v>
      </c>
    </row>
    <row r="13" spans="1:19" ht="27" customHeight="1">
      <c r="A13" s="1791"/>
      <c r="B13" s="1287" t="s">
        <v>105</v>
      </c>
      <c r="C13" s="1287"/>
      <c r="D13" s="882" t="s">
        <v>795</v>
      </c>
      <c r="E13" s="700"/>
      <c r="F13" s="700"/>
      <c r="G13" s="700"/>
      <c r="H13" s="700">
        <f t="shared" si="4"/>
        <v>0</v>
      </c>
      <c r="I13" s="700"/>
      <c r="J13" s="700"/>
      <c r="K13" s="701">
        <f t="shared" si="5"/>
        <v>0</v>
      </c>
      <c r="L13" s="882" t="s">
        <v>867</v>
      </c>
      <c r="M13" s="700"/>
      <c r="N13" s="700"/>
      <c r="O13" s="700"/>
      <c r="P13" s="700">
        <f t="shared" si="6"/>
        <v>0</v>
      </c>
      <c r="Q13" s="700"/>
      <c r="R13" s="700"/>
      <c r="S13" s="701">
        <f t="shared" si="7"/>
        <v>0</v>
      </c>
    </row>
    <row r="14" spans="1:19" ht="27" customHeight="1">
      <c r="A14" s="1790"/>
      <c r="B14" s="1287" t="s">
        <v>262</v>
      </c>
      <c r="C14" s="1287"/>
      <c r="D14" s="882" t="s">
        <v>795</v>
      </c>
      <c r="E14" s="700"/>
      <c r="F14" s="700"/>
      <c r="G14" s="700"/>
      <c r="H14" s="700">
        <f t="shared" si="4"/>
        <v>0</v>
      </c>
      <c r="I14" s="700"/>
      <c r="J14" s="700"/>
      <c r="K14" s="701">
        <f t="shared" si="5"/>
        <v>0</v>
      </c>
      <c r="L14" s="882" t="s">
        <v>867</v>
      </c>
      <c r="M14" s="700"/>
      <c r="N14" s="700"/>
      <c r="O14" s="700"/>
      <c r="P14" s="700">
        <f t="shared" si="6"/>
        <v>0</v>
      </c>
      <c r="Q14" s="700"/>
      <c r="R14" s="700"/>
      <c r="S14" s="701">
        <f t="shared" si="7"/>
        <v>0</v>
      </c>
    </row>
    <row r="15" spans="1:19" ht="27" customHeight="1">
      <c r="A15" s="1790"/>
      <c r="B15" s="1371" t="s">
        <v>263</v>
      </c>
      <c r="C15" s="1372"/>
      <c r="D15" s="882" t="s">
        <v>795</v>
      </c>
      <c r="E15" s="700"/>
      <c r="F15" s="700"/>
      <c r="G15" s="700"/>
      <c r="H15" s="700">
        <f t="shared" si="4"/>
        <v>0</v>
      </c>
      <c r="I15" s="700"/>
      <c r="J15" s="700"/>
      <c r="K15" s="701">
        <f t="shared" si="5"/>
        <v>0</v>
      </c>
      <c r="L15" s="882" t="s">
        <v>867</v>
      </c>
      <c r="M15" s="700"/>
      <c r="N15" s="700"/>
      <c r="O15" s="700"/>
      <c r="P15" s="700">
        <f t="shared" si="6"/>
        <v>0</v>
      </c>
      <c r="Q15" s="700"/>
      <c r="R15" s="700"/>
      <c r="S15" s="701">
        <f t="shared" si="7"/>
        <v>0</v>
      </c>
    </row>
    <row r="16" spans="1:19" ht="27" customHeight="1" thickBot="1">
      <c r="A16" s="1790"/>
      <c r="B16" s="1389" t="s">
        <v>52</v>
      </c>
      <c r="C16" s="1390"/>
      <c r="D16" s="928">
        <v>72</v>
      </c>
      <c r="E16" s="926">
        <v>144</v>
      </c>
      <c r="F16" s="926">
        <v>46</v>
      </c>
      <c r="G16" s="926">
        <v>364</v>
      </c>
      <c r="H16" s="926">
        <f t="shared" si="4"/>
        <v>410</v>
      </c>
      <c r="I16" s="926">
        <v>360</v>
      </c>
      <c r="J16" s="926"/>
      <c r="K16" s="927">
        <f t="shared" si="5"/>
        <v>360</v>
      </c>
      <c r="L16" s="928">
        <v>72</v>
      </c>
      <c r="M16" s="926">
        <v>144</v>
      </c>
      <c r="N16" s="926">
        <v>48</v>
      </c>
      <c r="O16" s="926">
        <v>408</v>
      </c>
      <c r="P16" s="926">
        <f t="shared" si="6"/>
        <v>456</v>
      </c>
      <c r="Q16" s="926">
        <v>360</v>
      </c>
      <c r="R16" s="926"/>
      <c r="S16" s="927">
        <f t="shared" si="7"/>
        <v>360</v>
      </c>
    </row>
    <row r="17" spans="1:19" ht="27" customHeight="1" thickBot="1" thickTop="1">
      <c r="A17" s="1792"/>
      <c r="B17" s="920"/>
      <c r="C17" s="921" t="s">
        <v>20</v>
      </c>
      <c r="D17" s="922">
        <f aca="true" t="shared" si="8" ref="D17:K17">SUM(D11:D16)</f>
        <v>229</v>
      </c>
      <c r="E17" s="923">
        <f t="shared" si="8"/>
        <v>484</v>
      </c>
      <c r="F17" s="923">
        <f t="shared" si="8"/>
        <v>1608</v>
      </c>
      <c r="G17" s="923">
        <f t="shared" si="8"/>
        <v>2554</v>
      </c>
      <c r="H17" s="923">
        <f t="shared" si="8"/>
        <v>4162</v>
      </c>
      <c r="I17" s="923">
        <f t="shared" si="8"/>
        <v>1973</v>
      </c>
      <c r="J17" s="923">
        <f t="shared" si="8"/>
        <v>287</v>
      </c>
      <c r="K17" s="924">
        <f t="shared" si="8"/>
        <v>2260</v>
      </c>
      <c r="L17" s="922">
        <f aca="true" t="shared" si="9" ref="L17:S17">SUM(L11:L16)</f>
        <v>198</v>
      </c>
      <c r="M17" s="923">
        <f t="shared" si="9"/>
        <v>388</v>
      </c>
      <c r="N17" s="923">
        <f t="shared" si="9"/>
        <v>1164</v>
      </c>
      <c r="O17" s="923">
        <f t="shared" si="9"/>
        <v>1597</v>
      </c>
      <c r="P17" s="923">
        <f t="shared" si="9"/>
        <v>2761</v>
      </c>
      <c r="Q17" s="923">
        <f t="shared" si="9"/>
        <v>1813</v>
      </c>
      <c r="R17" s="923">
        <f t="shared" si="9"/>
        <v>49</v>
      </c>
      <c r="S17" s="924">
        <f t="shared" si="9"/>
        <v>1862</v>
      </c>
    </row>
    <row r="18" spans="1:19" ht="27" customHeight="1">
      <c r="A18" s="1785" t="s">
        <v>8</v>
      </c>
      <c r="B18" s="1369" t="s">
        <v>25</v>
      </c>
      <c r="C18" s="1788"/>
      <c r="D18" s="883" t="s">
        <v>795</v>
      </c>
      <c r="E18" s="704"/>
      <c r="F18" s="704"/>
      <c r="G18" s="704"/>
      <c r="H18" s="700">
        <f aca="true" t="shared" si="10" ref="H18:H26">F18+G18</f>
        <v>0</v>
      </c>
      <c r="I18" s="704"/>
      <c r="J18" s="704"/>
      <c r="K18" s="705">
        <f aca="true" t="shared" si="11" ref="K18:K26">SUM(I18:J18)</f>
        <v>0</v>
      </c>
      <c r="L18" s="883" t="s">
        <v>867</v>
      </c>
      <c r="M18" s="704"/>
      <c r="N18" s="704"/>
      <c r="O18" s="704"/>
      <c r="P18" s="700">
        <f aca="true" t="shared" si="12" ref="P18:P26">N18+O18</f>
        <v>0</v>
      </c>
      <c r="Q18" s="704"/>
      <c r="R18" s="704"/>
      <c r="S18" s="705">
        <f aca="true" t="shared" si="13" ref="S18:S26">SUM(Q18:R18)</f>
        <v>0</v>
      </c>
    </row>
    <row r="19" spans="1:19" ht="27" customHeight="1">
      <c r="A19" s="1786"/>
      <c r="B19" s="1371" t="s">
        <v>26</v>
      </c>
      <c r="C19" s="1351"/>
      <c r="D19" s="702">
        <v>9</v>
      </c>
      <c r="E19" s="700">
        <v>36</v>
      </c>
      <c r="F19" s="700">
        <v>80</v>
      </c>
      <c r="G19" s="700">
        <v>76</v>
      </c>
      <c r="H19" s="700">
        <f t="shared" si="10"/>
        <v>156</v>
      </c>
      <c r="I19" s="700">
        <v>39</v>
      </c>
      <c r="J19" s="700"/>
      <c r="K19" s="701">
        <f t="shared" si="11"/>
        <v>39</v>
      </c>
      <c r="L19" s="702">
        <v>7</v>
      </c>
      <c r="M19" s="700">
        <v>30</v>
      </c>
      <c r="N19" s="700">
        <v>63</v>
      </c>
      <c r="O19" s="700">
        <v>62</v>
      </c>
      <c r="P19" s="700">
        <f t="shared" si="12"/>
        <v>125</v>
      </c>
      <c r="Q19" s="700">
        <v>38</v>
      </c>
      <c r="R19" s="700"/>
      <c r="S19" s="701">
        <f t="shared" si="13"/>
        <v>38</v>
      </c>
    </row>
    <row r="20" spans="1:19" ht="27" customHeight="1">
      <c r="A20" s="1786"/>
      <c r="B20" s="1287" t="s">
        <v>113</v>
      </c>
      <c r="C20" s="1287"/>
      <c r="D20" s="702">
        <v>8</v>
      </c>
      <c r="E20" s="700">
        <v>32</v>
      </c>
      <c r="F20" s="700">
        <v>80</v>
      </c>
      <c r="G20" s="700">
        <v>152</v>
      </c>
      <c r="H20" s="700">
        <f t="shared" si="10"/>
        <v>232</v>
      </c>
      <c r="I20" s="700">
        <v>38</v>
      </c>
      <c r="J20" s="700">
        <v>0</v>
      </c>
      <c r="K20" s="701">
        <f t="shared" si="11"/>
        <v>38</v>
      </c>
      <c r="L20" s="702">
        <v>5</v>
      </c>
      <c r="M20" s="700">
        <v>20</v>
      </c>
      <c r="N20" s="700">
        <v>66</v>
      </c>
      <c r="O20" s="700">
        <v>88</v>
      </c>
      <c r="P20" s="700">
        <f t="shared" si="12"/>
        <v>154</v>
      </c>
      <c r="Q20" s="700">
        <v>20</v>
      </c>
      <c r="R20" s="700">
        <v>0</v>
      </c>
      <c r="S20" s="701">
        <f t="shared" si="13"/>
        <v>20</v>
      </c>
    </row>
    <row r="21" spans="1:19" ht="27" customHeight="1">
      <c r="A21" s="1786"/>
      <c r="B21" s="1287" t="s">
        <v>264</v>
      </c>
      <c r="C21" s="1287"/>
      <c r="D21" s="882" t="s">
        <v>795</v>
      </c>
      <c r="E21" s="700"/>
      <c r="F21" s="700"/>
      <c r="G21" s="700"/>
      <c r="H21" s="700">
        <f t="shared" si="10"/>
        <v>0</v>
      </c>
      <c r="I21" s="700"/>
      <c r="J21" s="700"/>
      <c r="K21" s="701">
        <f t="shared" si="11"/>
        <v>0</v>
      </c>
      <c r="L21" s="882" t="s">
        <v>867</v>
      </c>
      <c r="M21" s="700"/>
      <c r="N21" s="700"/>
      <c r="O21" s="700"/>
      <c r="P21" s="700">
        <f t="shared" si="12"/>
        <v>0</v>
      </c>
      <c r="Q21" s="700"/>
      <c r="R21" s="700"/>
      <c r="S21" s="701">
        <f t="shared" si="13"/>
        <v>0</v>
      </c>
    </row>
    <row r="22" spans="1:19" ht="27" customHeight="1">
      <c r="A22" s="1786"/>
      <c r="B22" s="1287" t="s">
        <v>53</v>
      </c>
      <c r="C22" s="1287"/>
      <c r="D22" s="882" t="s">
        <v>795</v>
      </c>
      <c r="E22" s="707"/>
      <c r="F22" s="707"/>
      <c r="G22" s="707"/>
      <c r="H22" s="707">
        <f t="shared" si="10"/>
        <v>0</v>
      </c>
      <c r="I22" s="707"/>
      <c r="J22" s="707"/>
      <c r="K22" s="708">
        <f t="shared" si="11"/>
        <v>0</v>
      </c>
      <c r="L22" s="882">
        <v>3</v>
      </c>
      <c r="M22" s="707">
        <v>10</v>
      </c>
      <c r="N22" s="707">
        <v>10</v>
      </c>
      <c r="O22" s="707">
        <v>10</v>
      </c>
      <c r="P22" s="707">
        <f t="shared" si="12"/>
        <v>20</v>
      </c>
      <c r="Q22" s="707">
        <v>50</v>
      </c>
      <c r="R22" s="707">
        <v>20</v>
      </c>
      <c r="S22" s="708">
        <f t="shared" si="13"/>
        <v>70</v>
      </c>
    </row>
    <row r="23" spans="1:19" ht="27" customHeight="1">
      <c r="A23" s="1786"/>
      <c r="B23" s="1701" t="s">
        <v>27</v>
      </c>
      <c r="C23" s="1789"/>
      <c r="D23" s="882">
        <v>8</v>
      </c>
      <c r="E23" s="700">
        <v>10</v>
      </c>
      <c r="F23" s="700">
        <v>40</v>
      </c>
      <c r="G23" s="700">
        <v>47</v>
      </c>
      <c r="H23" s="700">
        <f t="shared" si="10"/>
        <v>87</v>
      </c>
      <c r="I23" s="700">
        <v>10</v>
      </c>
      <c r="J23" s="700"/>
      <c r="K23" s="701">
        <f t="shared" si="11"/>
        <v>10</v>
      </c>
      <c r="L23" s="882" t="s">
        <v>867</v>
      </c>
      <c r="M23" s="700"/>
      <c r="N23" s="700"/>
      <c r="O23" s="700"/>
      <c r="P23" s="700">
        <f t="shared" si="12"/>
        <v>0</v>
      </c>
      <c r="Q23" s="700"/>
      <c r="R23" s="700"/>
      <c r="S23" s="701">
        <f t="shared" si="13"/>
        <v>0</v>
      </c>
    </row>
    <row r="24" spans="1:19" ht="27" customHeight="1">
      <c r="A24" s="1786"/>
      <c r="B24" s="1287" t="s">
        <v>265</v>
      </c>
      <c r="C24" s="1287"/>
      <c r="D24" s="882" t="s">
        <v>795</v>
      </c>
      <c r="E24" s="700"/>
      <c r="F24" s="700"/>
      <c r="G24" s="700"/>
      <c r="H24" s="700">
        <f t="shared" si="10"/>
        <v>0</v>
      </c>
      <c r="I24" s="700"/>
      <c r="J24" s="700"/>
      <c r="K24" s="701">
        <f t="shared" si="11"/>
        <v>0</v>
      </c>
      <c r="L24" s="882" t="s">
        <v>867</v>
      </c>
      <c r="M24" s="700"/>
      <c r="N24" s="700"/>
      <c r="O24" s="700"/>
      <c r="P24" s="700">
        <f t="shared" si="12"/>
        <v>0</v>
      </c>
      <c r="Q24" s="700"/>
      <c r="R24" s="700"/>
      <c r="S24" s="701">
        <f t="shared" si="13"/>
        <v>0</v>
      </c>
    </row>
    <row r="25" spans="1:19" ht="27" customHeight="1">
      <c r="A25" s="1786"/>
      <c r="B25" s="1287" t="s">
        <v>266</v>
      </c>
      <c r="C25" s="1287"/>
      <c r="D25" s="702">
        <v>2</v>
      </c>
      <c r="E25" s="700">
        <v>10</v>
      </c>
      <c r="F25" s="700">
        <v>11</v>
      </c>
      <c r="G25" s="700">
        <v>3</v>
      </c>
      <c r="H25" s="700">
        <f t="shared" si="10"/>
        <v>14</v>
      </c>
      <c r="I25" s="700">
        <v>15</v>
      </c>
      <c r="J25" s="700"/>
      <c r="K25" s="701">
        <f t="shared" si="11"/>
        <v>15</v>
      </c>
      <c r="L25" s="702">
        <v>2</v>
      </c>
      <c r="M25" s="700">
        <v>10</v>
      </c>
      <c r="N25" s="700">
        <v>13</v>
      </c>
      <c r="O25" s="700">
        <v>11</v>
      </c>
      <c r="P25" s="700">
        <f t="shared" si="12"/>
        <v>24</v>
      </c>
      <c r="Q25" s="700">
        <v>20</v>
      </c>
      <c r="R25" s="700"/>
      <c r="S25" s="701">
        <f t="shared" si="13"/>
        <v>20</v>
      </c>
    </row>
    <row r="26" spans="1:19" ht="27" customHeight="1" thickBot="1">
      <c r="A26" s="1786"/>
      <c r="B26" s="1288" t="s">
        <v>120</v>
      </c>
      <c r="C26" s="1288"/>
      <c r="D26" s="925" t="s">
        <v>795</v>
      </c>
      <c r="E26" s="926"/>
      <c r="F26" s="926"/>
      <c r="G26" s="926"/>
      <c r="H26" s="926">
        <f t="shared" si="10"/>
        <v>0</v>
      </c>
      <c r="I26" s="926"/>
      <c r="J26" s="926"/>
      <c r="K26" s="927">
        <f t="shared" si="11"/>
        <v>0</v>
      </c>
      <c r="L26" s="925" t="s">
        <v>867</v>
      </c>
      <c r="M26" s="926"/>
      <c r="N26" s="926"/>
      <c r="O26" s="926"/>
      <c r="P26" s="926">
        <f t="shared" si="12"/>
        <v>0</v>
      </c>
      <c r="Q26" s="926"/>
      <c r="R26" s="926"/>
      <c r="S26" s="927">
        <f t="shared" si="13"/>
        <v>0</v>
      </c>
    </row>
    <row r="27" spans="1:19" ht="27" customHeight="1" thickBot="1" thickTop="1">
      <c r="A27" s="1787"/>
      <c r="B27" s="920"/>
      <c r="C27" s="921" t="s">
        <v>20</v>
      </c>
      <c r="D27" s="922">
        <f aca="true" t="shared" si="14" ref="D27:K27">SUM(D18:D26)</f>
        <v>27</v>
      </c>
      <c r="E27" s="923">
        <f t="shared" si="14"/>
        <v>88</v>
      </c>
      <c r="F27" s="923">
        <f t="shared" si="14"/>
        <v>211</v>
      </c>
      <c r="G27" s="923">
        <f t="shared" si="14"/>
        <v>278</v>
      </c>
      <c r="H27" s="923">
        <f t="shared" si="14"/>
        <v>489</v>
      </c>
      <c r="I27" s="923">
        <f t="shared" si="14"/>
        <v>102</v>
      </c>
      <c r="J27" s="923">
        <f t="shared" si="14"/>
        <v>0</v>
      </c>
      <c r="K27" s="924">
        <f t="shared" si="14"/>
        <v>102</v>
      </c>
      <c r="L27" s="922">
        <f aca="true" t="shared" si="15" ref="L27:S27">SUM(L18:L26)</f>
        <v>17</v>
      </c>
      <c r="M27" s="923">
        <f t="shared" si="15"/>
        <v>70</v>
      </c>
      <c r="N27" s="923">
        <f t="shared" si="15"/>
        <v>152</v>
      </c>
      <c r="O27" s="923">
        <f t="shared" si="15"/>
        <v>171</v>
      </c>
      <c r="P27" s="923">
        <f t="shared" si="15"/>
        <v>323</v>
      </c>
      <c r="Q27" s="923">
        <f t="shared" si="15"/>
        <v>128</v>
      </c>
      <c r="R27" s="923">
        <f t="shared" si="15"/>
        <v>20</v>
      </c>
      <c r="S27" s="924">
        <f t="shared" si="15"/>
        <v>148</v>
      </c>
    </row>
    <row r="28" spans="1:3" ht="17.25">
      <c r="A28" s="88"/>
      <c r="B28" s="88"/>
      <c r="C28" s="94"/>
    </row>
  </sheetData>
  <sheetProtection/>
  <mergeCells count="33">
    <mergeCell ref="Q2:S2"/>
    <mergeCell ref="A1:C3"/>
    <mergeCell ref="D1:K1"/>
    <mergeCell ref="L1:S1"/>
    <mergeCell ref="D2:D3"/>
    <mergeCell ref="F2:H2"/>
    <mergeCell ref="L2:L3"/>
    <mergeCell ref="N2:P2"/>
    <mergeCell ref="I2:K2"/>
    <mergeCell ref="A4:C4"/>
    <mergeCell ref="A5:A10"/>
    <mergeCell ref="B5:C5"/>
    <mergeCell ref="B6:C6"/>
    <mergeCell ref="B7:C7"/>
    <mergeCell ref="B8:C8"/>
    <mergeCell ref="B9:C9"/>
    <mergeCell ref="A11:A17"/>
    <mergeCell ref="B11:C11"/>
    <mergeCell ref="B12:C12"/>
    <mergeCell ref="B13:C13"/>
    <mergeCell ref="B14:C14"/>
    <mergeCell ref="B15:C15"/>
    <mergeCell ref="B16:C16"/>
    <mergeCell ref="A18:A2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printOptions/>
  <pageMargins left="0.7086614173228347" right="0.1968503937007874" top="1.062992125984252" bottom="0.1968503937007874" header="0.7874015748031497" footer="0.3937007874015748"/>
  <pageSetup firstPageNumber="18" useFirstPageNumber="1" horizontalDpi="600" verticalDpi="600" orientation="portrait" paperSize="9" scale="96" r:id="rId1"/>
  <headerFooter scaleWithDoc="0" alignWithMargins="0">
    <oddHeader>&amp;L&amp;"ＭＳ Ｐゴシック,太字"８　青年を対象とした学級・講座開設状況</oddHeader>
    <oddFooter>&amp;C&amp;12&amp;P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82"/>
  <sheetViews>
    <sheetView view="pageBreakPreview" zoomScale="150" zoomScaleNormal="130" zoomScaleSheetLayoutView="150" zoomScalePageLayoutView="0" workbookViewId="0" topLeftCell="A1">
      <selection activeCell="N6" sqref="N6"/>
    </sheetView>
  </sheetViews>
  <sheetFormatPr defaultColWidth="9.00390625" defaultRowHeight="13.5"/>
  <cols>
    <col min="1" max="1" width="2.625" style="42" customWidth="1"/>
    <col min="2" max="2" width="8.00390625" style="72" customWidth="1"/>
    <col min="3" max="3" width="4.125" style="74" customWidth="1"/>
    <col min="4" max="4" width="4.125" style="75" customWidth="1"/>
    <col min="5" max="5" width="4.125" style="74" customWidth="1"/>
    <col min="6" max="6" width="4.875" style="74" customWidth="1"/>
    <col min="7" max="7" width="5.00390625" style="74" customWidth="1"/>
    <col min="8" max="11" width="4.125" style="74" customWidth="1"/>
    <col min="12" max="13" width="4.125" style="75" customWidth="1"/>
    <col min="14" max="14" width="5.125" style="75" customWidth="1"/>
    <col min="15" max="15" width="5.25390625" style="75" customWidth="1"/>
    <col min="16" max="18" width="4.125" style="75" customWidth="1"/>
    <col min="19" max="20" width="11.625" style="42" customWidth="1"/>
    <col min="21" max="21" width="7.875" style="42" customWidth="1"/>
    <col min="22" max="22" width="6.625" style="42" customWidth="1"/>
    <col min="23" max="24" width="6.125" style="42" customWidth="1"/>
    <col min="25" max="16384" width="9.00390625" style="42" customWidth="1"/>
  </cols>
  <sheetData>
    <row r="1" spans="1:24" ht="15" customHeight="1">
      <c r="A1" s="1824" t="s">
        <v>189</v>
      </c>
      <c r="B1" s="1825"/>
      <c r="C1" s="1830" t="s">
        <v>933</v>
      </c>
      <c r="D1" s="1831"/>
      <c r="E1" s="1831"/>
      <c r="F1" s="1831"/>
      <c r="G1" s="1831"/>
      <c r="H1" s="1831"/>
      <c r="I1" s="1831"/>
      <c r="J1" s="1832"/>
      <c r="K1" s="1830" t="s">
        <v>934</v>
      </c>
      <c r="L1" s="1831"/>
      <c r="M1" s="1831"/>
      <c r="N1" s="1831"/>
      <c r="O1" s="1831"/>
      <c r="P1" s="1831"/>
      <c r="Q1" s="1831"/>
      <c r="R1" s="1832"/>
      <c r="S1" s="56"/>
      <c r="T1" s="56"/>
      <c r="U1" s="56"/>
      <c r="V1" s="57"/>
      <c r="W1" s="58"/>
      <c r="X1" s="58"/>
    </row>
    <row r="2" spans="1:24" ht="15.75" customHeight="1">
      <c r="A2" s="1826"/>
      <c r="B2" s="1827"/>
      <c r="C2" s="1833" t="s">
        <v>190</v>
      </c>
      <c r="D2" s="1820" t="s">
        <v>191</v>
      </c>
      <c r="E2" s="1820" t="s">
        <v>769</v>
      </c>
      <c r="F2" s="1820"/>
      <c r="G2" s="1822"/>
      <c r="H2" s="1820" t="s">
        <v>78</v>
      </c>
      <c r="I2" s="1820"/>
      <c r="J2" s="1823"/>
      <c r="K2" s="1833" t="s">
        <v>190</v>
      </c>
      <c r="L2" s="1820" t="s">
        <v>191</v>
      </c>
      <c r="M2" s="1820" t="s">
        <v>769</v>
      </c>
      <c r="N2" s="1820"/>
      <c r="O2" s="1822"/>
      <c r="P2" s="1820" t="s">
        <v>78</v>
      </c>
      <c r="Q2" s="1820"/>
      <c r="R2" s="1823"/>
      <c r="S2" s="56"/>
      <c r="T2" s="56"/>
      <c r="U2" s="56"/>
      <c r="V2" s="57"/>
      <c r="W2" s="58"/>
      <c r="X2" s="58"/>
    </row>
    <row r="3" spans="1:24" s="63" customFormat="1" ht="17.25" customHeight="1" thickBot="1">
      <c r="A3" s="1828"/>
      <c r="B3" s="1829"/>
      <c r="C3" s="1834"/>
      <c r="D3" s="1821"/>
      <c r="E3" s="59" t="s">
        <v>192</v>
      </c>
      <c r="F3" s="59" t="s">
        <v>193</v>
      </c>
      <c r="G3" s="60" t="s">
        <v>91</v>
      </c>
      <c r="H3" s="59" t="s">
        <v>90</v>
      </c>
      <c r="I3" s="59" t="s">
        <v>55</v>
      </c>
      <c r="J3" s="61" t="s">
        <v>91</v>
      </c>
      <c r="K3" s="1834"/>
      <c r="L3" s="1821"/>
      <c r="M3" s="59" t="s">
        <v>192</v>
      </c>
      <c r="N3" s="59" t="s">
        <v>193</v>
      </c>
      <c r="O3" s="60" t="s">
        <v>91</v>
      </c>
      <c r="P3" s="59" t="s">
        <v>90</v>
      </c>
      <c r="Q3" s="59" t="s">
        <v>55</v>
      </c>
      <c r="R3" s="61" t="s">
        <v>91</v>
      </c>
      <c r="S3" s="57"/>
      <c r="T3" s="57"/>
      <c r="U3" s="62"/>
      <c r="V3" s="56"/>
      <c r="W3" s="62"/>
      <c r="X3" s="62"/>
    </row>
    <row r="4" spans="1:24" s="68" customFormat="1" ht="25.5" customHeight="1" thickBot="1">
      <c r="A4" s="1835" t="s">
        <v>194</v>
      </c>
      <c r="B4" s="1836"/>
      <c r="C4" s="64">
        <f aca="true" t="shared" si="0" ref="C4:R4">SUM(C10,C17,C27)</f>
        <v>2475</v>
      </c>
      <c r="D4" s="65">
        <f t="shared" si="0"/>
        <v>6257</v>
      </c>
      <c r="E4" s="65">
        <f t="shared" si="0"/>
        <v>1139</v>
      </c>
      <c r="F4" s="65">
        <f t="shared" si="0"/>
        <v>23966</v>
      </c>
      <c r="G4" s="65">
        <f t="shared" si="0"/>
        <v>25105</v>
      </c>
      <c r="H4" s="65">
        <f t="shared" si="0"/>
        <v>8801</v>
      </c>
      <c r="I4" s="65">
        <f t="shared" si="0"/>
        <v>1767</v>
      </c>
      <c r="J4" s="66">
        <f t="shared" si="0"/>
        <v>10568</v>
      </c>
      <c r="K4" s="64">
        <f t="shared" si="0"/>
        <v>2408</v>
      </c>
      <c r="L4" s="65">
        <f t="shared" si="0"/>
        <v>5930</v>
      </c>
      <c r="M4" s="65">
        <f t="shared" si="0"/>
        <v>833</v>
      </c>
      <c r="N4" s="65">
        <f t="shared" si="0"/>
        <v>24067</v>
      </c>
      <c r="O4" s="65">
        <f t="shared" si="0"/>
        <v>24900</v>
      </c>
      <c r="P4" s="65">
        <f t="shared" si="0"/>
        <v>8473</v>
      </c>
      <c r="Q4" s="65">
        <f t="shared" si="0"/>
        <v>1557</v>
      </c>
      <c r="R4" s="66">
        <f t="shared" si="0"/>
        <v>10030</v>
      </c>
      <c r="S4" s="67"/>
      <c r="T4" s="67"/>
      <c r="U4" s="67"/>
      <c r="V4" s="67"/>
      <c r="W4" s="67"/>
      <c r="X4" s="67"/>
    </row>
    <row r="5" spans="1:24" s="68" customFormat="1" ht="25.5" customHeight="1">
      <c r="A5" s="1813" t="s">
        <v>195</v>
      </c>
      <c r="B5" s="1122" t="s">
        <v>93</v>
      </c>
      <c r="C5" s="656">
        <v>58</v>
      </c>
      <c r="D5" s="657">
        <v>132</v>
      </c>
      <c r="E5" s="517">
        <v>166</v>
      </c>
      <c r="F5" s="517">
        <v>1165</v>
      </c>
      <c r="G5" s="930" t="s">
        <v>935</v>
      </c>
      <c r="H5" s="517">
        <v>273</v>
      </c>
      <c r="I5" s="517"/>
      <c r="J5" s="518">
        <f>SUM(H5:I5)</f>
        <v>273</v>
      </c>
      <c r="K5" s="656">
        <v>58</v>
      </c>
      <c r="L5" s="657">
        <v>132</v>
      </c>
      <c r="M5" s="517">
        <v>139</v>
      </c>
      <c r="N5" s="517">
        <v>1126</v>
      </c>
      <c r="O5" s="932" t="s">
        <v>937</v>
      </c>
      <c r="P5" s="517">
        <v>295</v>
      </c>
      <c r="Q5" s="517"/>
      <c r="R5" s="518">
        <f>SUM(P5:Q5)</f>
        <v>295</v>
      </c>
      <c r="S5" s="203"/>
      <c r="T5" s="203"/>
      <c r="U5" s="67"/>
      <c r="V5" s="67"/>
      <c r="W5" s="67"/>
      <c r="X5" s="67"/>
    </row>
    <row r="6" spans="1:24" s="68" customFormat="1" ht="25.5" customHeight="1">
      <c r="A6" s="1814"/>
      <c r="B6" s="1123" t="s">
        <v>97</v>
      </c>
      <c r="C6" s="659">
        <v>160</v>
      </c>
      <c r="D6" s="660">
        <v>399</v>
      </c>
      <c r="E6" s="661">
        <v>18</v>
      </c>
      <c r="F6" s="661">
        <v>579</v>
      </c>
      <c r="G6" s="661">
        <f>SUM(E6:F6)</f>
        <v>597</v>
      </c>
      <c r="H6" s="661">
        <v>663</v>
      </c>
      <c r="I6" s="661"/>
      <c r="J6" s="662">
        <f>SUM(H6:I6)</f>
        <v>663</v>
      </c>
      <c r="K6" s="659">
        <v>150</v>
      </c>
      <c r="L6" s="660">
        <v>367</v>
      </c>
      <c r="M6" s="661">
        <v>13</v>
      </c>
      <c r="N6" s="661">
        <v>525</v>
      </c>
      <c r="O6" s="663">
        <f>SUM(M6:N6)</f>
        <v>538</v>
      </c>
      <c r="P6" s="661">
        <v>674</v>
      </c>
      <c r="Q6" s="661"/>
      <c r="R6" s="662">
        <f>SUM(P6:Q6)</f>
        <v>674</v>
      </c>
      <c r="S6" s="203"/>
      <c r="T6" s="203"/>
      <c r="U6" s="67"/>
      <c r="V6" s="67"/>
      <c r="W6" s="67"/>
      <c r="X6" s="67"/>
    </row>
    <row r="7" spans="1:24" s="68" customFormat="1" ht="25.5" customHeight="1">
      <c r="A7" s="1814"/>
      <c r="B7" s="1124" t="s">
        <v>39</v>
      </c>
      <c r="C7" s="659">
        <v>321</v>
      </c>
      <c r="D7" s="660">
        <v>1086</v>
      </c>
      <c r="E7" s="661">
        <v>41</v>
      </c>
      <c r="F7" s="661">
        <v>2406</v>
      </c>
      <c r="G7" s="664">
        <f>SUM(E7:F7)</f>
        <v>2447</v>
      </c>
      <c r="H7" s="661">
        <v>110</v>
      </c>
      <c r="I7" s="661">
        <v>67</v>
      </c>
      <c r="J7" s="665">
        <f>SUM(H7:I7)</f>
        <v>177</v>
      </c>
      <c r="K7" s="659">
        <v>268</v>
      </c>
      <c r="L7" s="660">
        <v>921</v>
      </c>
      <c r="M7" s="661">
        <v>90</v>
      </c>
      <c r="N7" s="661">
        <v>1867</v>
      </c>
      <c r="O7" s="664">
        <f>SUM(M7:N7)</f>
        <v>1957</v>
      </c>
      <c r="P7" s="661">
        <v>90</v>
      </c>
      <c r="Q7" s="661">
        <v>79</v>
      </c>
      <c r="R7" s="665">
        <f>SUM(P7:Q7)</f>
        <v>169</v>
      </c>
      <c r="S7" s="203"/>
      <c r="T7" s="203"/>
      <c r="U7" s="67"/>
      <c r="V7" s="67"/>
      <c r="W7" s="67"/>
      <c r="X7" s="67"/>
    </row>
    <row r="8" spans="1:24" s="68" customFormat="1" ht="25.5" customHeight="1">
      <c r="A8" s="1814"/>
      <c r="B8" s="1125" t="s">
        <v>100</v>
      </c>
      <c r="C8" s="666">
        <v>304</v>
      </c>
      <c r="D8" s="667">
        <v>714</v>
      </c>
      <c r="E8" s="668">
        <v>192</v>
      </c>
      <c r="F8" s="668">
        <v>3251</v>
      </c>
      <c r="G8" s="663">
        <f>SUM(E8:F8)</f>
        <v>3443</v>
      </c>
      <c r="H8" s="668">
        <v>1212</v>
      </c>
      <c r="I8" s="668">
        <v>304</v>
      </c>
      <c r="J8" s="662">
        <f>SUM(H8:I8)</f>
        <v>1516</v>
      </c>
      <c r="K8" s="666">
        <v>289</v>
      </c>
      <c r="L8" s="667">
        <v>679</v>
      </c>
      <c r="M8" s="668">
        <v>194</v>
      </c>
      <c r="N8" s="668">
        <v>3452</v>
      </c>
      <c r="O8" s="663">
        <f>SUM(M8:N8)</f>
        <v>3646</v>
      </c>
      <c r="P8" s="668">
        <v>1199</v>
      </c>
      <c r="Q8" s="668">
        <v>300</v>
      </c>
      <c r="R8" s="662">
        <f>SUM(P8:Q8)</f>
        <v>1499</v>
      </c>
      <c r="S8" s="203"/>
      <c r="T8" s="203"/>
      <c r="U8" s="67"/>
      <c r="V8" s="67"/>
      <c r="W8" s="67"/>
      <c r="X8" s="67"/>
    </row>
    <row r="9" spans="1:24" s="68" customFormat="1" ht="25.5" customHeight="1" thickBot="1">
      <c r="A9" s="1814"/>
      <c r="B9" s="1214" t="s">
        <v>101</v>
      </c>
      <c r="C9" s="1215">
        <v>1</v>
      </c>
      <c r="D9" s="1216">
        <v>90</v>
      </c>
      <c r="E9" s="1217"/>
      <c r="F9" s="1217">
        <v>60</v>
      </c>
      <c r="G9" s="1218">
        <f>SUM(E9:F9)</f>
        <v>60</v>
      </c>
      <c r="H9" s="1217"/>
      <c r="I9" s="1217"/>
      <c r="J9" s="1219">
        <f>SUM(H9:I9)</f>
        <v>0</v>
      </c>
      <c r="K9" s="1215">
        <v>1</v>
      </c>
      <c r="L9" s="1216">
        <v>90</v>
      </c>
      <c r="M9" s="1217"/>
      <c r="N9" s="1217">
        <v>60</v>
      </c>
      <c r="O9" s="1218">
        <f>SUM(M9:N9)</f>
        <v>60</v>
      </c>
      <c r="P9" s="1217"/>
      <c r="Q9" s="1217">
        <v>22</v>
      </c>
      <c r="R9" s="1219">
        <f>SUM(P9:Q9)</f>
        <v>22</v>
      </c>
      <c r="S9" s="203"/>
      <c r="T9" s="203"/>
      <c r="U9" s="67"/>
      <c r="V9" s="67"/>
      <c r="W9" s="67"/>
      <c r="X9" s="67"/>
    </row>
    <row r="10" spans="1:24" s="68" customFormat="1" ht="25.5" customHeight="1" thickBot="1" thickTop="1">
      <c r="A10" s="1815"/>
      <c r="B10" s="23" t="s">
        <v>196</v>
      </c>
      <c r="C10" s="1213">
        <f aca="true" t="shared" si="1" ref="C10:R10">SUM(C5:C9)</f>
        <v>844</v>
      </c>
      <c r="D10" s="204">
        <f t="shared" si="1"/>
        <v>2421</v>
      </c>
      <c r="E10" s="204">
        <f t="shared" si="1"/>
        <v>417</v>
      </c>
      <c r="F10" s="204">
        <f t="shared" si="1"/>
        <v>7461</v>
      </c>
      <c r="G10" s="204">
        <f>1331+G6+G7+G8+G9</f>
        <v>7878</v>
      </c>
      <c r="H10" s="204">
        <f t="shared" si="1"/>
        <v>2258</v>
      </c>
      <c r="I10" s="204">
        <f t="shared" si="1"/>
        <v>371</v>
      </c>
      <c r="J10" s="205">
        <f t="shared" si="1"/>
        <v>2629</v>
      </c>
      <c r="K10" s="1213">
        <f t="shared" si="1"/>
        <v>766</v>
      </c>
      <c r="L10" s="204">
        <f t="shared" si="1"/>
        <v>2189</v>
      </c>
      <c r="M10" s="204">
        <f t="shared" si="1"/>
        <v>436</v>
      </c>
      <c r="N10" s="204">
        <f t="shared" si="1"/>
        <v>7030</v>
      </c>
      <c r="O10" s="204">
        <f>1265+O6+O7+O8+O9</f>
        <v>7466</v>
      </c>
      <c r="P10" s="204">
        <f t="shared" si="1"/>
        <v>2258</v>
      </c>
      <c r="Q10" s="204">
        <f t="shared" si="1"/>
        <v>401</v>
      </c>
      <c r="R10" s="205">
        <f t="shared" si="1"/>
        <v>2659</v>
      </c>
      <c r="S10" s="203"/>
      <c r="T10" s="203"/>
      <c r="U10" s="67"/>
      <c r="V10" s="67"/>
      <c r="W10" s="67"/>
      <c r="X10" s="67"/>
    </row>
    <row r="11" spans="1:24" s="68" customFormat="1" ht="25.5" customHeight="1">
      <c r="A11" s="1816" t="s">
        <v>197</v>
      </c>
      <c r="B11" s="1122" t="s">
        <v>103</v>
      </c>
      <c r="C11" s="656">
        <v>625</v>
      </c>
      <c r="D11" s="657">
        <v>1295</v>
      </c>
      <c r="E11" s="517">
        <v>78</v>
      </c>
      <c r="F11" s="517">
        <v>5467</v>
      </c>
      <c r="G11" s="658">
        <f aca="true" t="shared" si="2" ref="G11:G16">SUM(E11:F11)</f>
        <v>5545</v>
      </c>
      <c r="H11" s="517">
        <v>2552</v>
      </c>
      <c r="I11" s="517">
        <v>386</v>
      </c>
      <c r="J11" s="518">
        <f aca="true" t="shared" si="3" ref="J11:J16">SUM(H11:I11)</f>
        <v>2938</v>
      </c>
      <c r="K11" s="656">
        <v>628</v>
      </c>
      <c r="L11" s="657">
        <v>1284</v>
      </c>
      <c r="M11" s="517">
        <v>75</v>
      </c>
      <c r="N11" s="517">
        <v>4463</v>
      </c>
      <c r="O11" s="658">
        <f aca="true" t="shared" si="4" ref="O11:O16">SUM(M11:N11)</f>
        <v>4538</v>
      </c>
      <c r="P11" s="517">
        <v>1867</v>
      </c>
      <c r="Q11" s="517">
        <v>237</v>
      </c>
      <c r="R11" s="518">
        <f aca="true" t="shared" si="5" ref="R11:R16">SUM(P11:Q11)</f>
        <v>2104</v>
      </c>
      <c r="S11" s="203"/>
      <c r="T11" s="203"/>
      <c r="U11" s="67"/>
      <c r="V11" s="67"/>
      <c r="W11" s="67"/>
      <c r="X11" s="67"/>
    </row>
    <row r="12" spans="1:24" s="68" customFormat="1" ht="25.5" customHeight="1">
      <c r="A12" s="1817"/>
      <c r="B12" s="1123" t="s">
        <v>104</v>
      </c>
      <c r="C12" s="659">
        <v>9</v>
      </c>
      <c r="D12" s="660">
        <v>18</v>
      </c>
      <c r="E12" s="661"/>
      <c r="F12" s="661">
        <v>58</v>
      </c>
      <c r="G12" s="663">
        <f t="shared" si="2"/>
        <v>58</v>
      </c>
      <c r="H12" s="661">
        <v>10</v>
      </c>
      <c r="I12" s="661"/>
      <c r="J12" s="662">
        <f t="shared" si="3"/>
        <v>10</v>
      </c>
      <c r="K12" s="659">
        <v>10</v>
      </c>
      <c r="L12" s="660">
        <v>20</v>
      </c>
      <c r="M12" s="661"/>
      <c r="N12" s="661">
        <v>96</v>
      </c>
      <c r="O12" s="663">
        <f t="shared" si="4"/>
        <v>96</v>
      </c>
      <c r="P12" s="661">
        <v>20</v>
      </c>
      <c r="Q12" s="661"/>
      <c r="R12" s="662">
        <f t="shared" si="5"/>
        <v>20</v>
      </c>
      <c r="S12" s="203"/>
      <c r="T12" s="203"/>
      <c r="U12" s="67"/>
      <c r="V12" s="67"/>
      <c r="W12" s="67"/>
      <c r="X12" s="67"/>
    </row>
    <row r="13" spans="1:24" s="68" customFormat="1" ht="25.5" customHeight="1">
      <c r="A13" s="1818"/>
      <c r="B13" s="1123" t="s">
        <v>105</v>
      </c>
      <c r="C13" s="659">
        <v>10</v>
      </c>
      <c r="D13" s="660">
        <v>30</v>
      </c>
      <c r="E13" s="661">
        <v>62</v>
      </c>
      <c r="F13" s="661">
        <v>363</v>
      </c>
      <c r="G13" s="663">
        <f t="shared" si="2"/>
        <v>425</v>
      </c>
      <c r="H13" s="661">
        <v>212</v>
      </c>
      <c r="I13" s="661"/>
      <c r="J13" s="662">
        <f t="shared" si="3"/>
        <v>212</v>
      </c>
      <c r="K13" s="659">
        <v>10</v>
      </c>
      <c r="L13" s="660">
        <v>28</v>
      </c>
      <c r="M13" s="661">
        <v>70</v>
      </c>
      <c r="N13" s="661">
        <v>400</v>
      </c>
      <c r="O13" s="663">
        <f t="shared" si="4"/>
        <v>470</v>
      </c>
      <c r="P13" s="661">
        <v>485</v>
      </c>
      <c r="Q13" s="661"/>
      <c r="R13" s="662">
        <f t="shared" si="5"/>
        <v>485</v>
      </c>
      <c r="S13" s="203"/>
      <c r="T13" s="203"/>
      <c r="U13" s="67"/>
      <c r="V13" s="67"/>
      <c r="W13" s="67"/>
      <c r="X13" s="67"/>
    </row>
    <row r="14" spans="1:24" s="68" customFormat="1" ht="25.5" customHeight="1">
      <c r="A14" s="1817"/>
      <c r="B14" s="1124" t="s">
        <v>42</v>
      </c>
      <c r="C14" s="659" t="s">
        <v>867</v>
      </c>
      <c r="D14" s="660"/>
      <c r="E14" s="661"/>
      <c r="F14" s="661"/>
      <c r="G14" s="663"/>
      <c r="H14" s="661"/>
      <c r="I14" s="661"/>
      <c r="J14" s="662"/>
      <c r="K14" s="659" t="s">
        <v>867</v>
      </c>
      <c r="L14" s="660"/>
      <c r="M14" s="661"/>
      <c r="N14" s="661"/>
      <c r="O14" s="663"/>
      <c r="P14" s="661"/>
      <c r="Q14" s="661"/>
      <c r="R14" s="662"/>
      <c r="S14" s="203"/>
      <c r="T14" s="203"/>
      <c r="U14" s="67"/>
      <c r="V14" s="67"/>
      <c r="W14" s="67"/>
      <c r="X14" s="67"/>
    </row>
    <row r="15" spans="1:24" s="68" customFormat="1" ht="25.5" customHeight="1">
      <c r="A15" s="1817"/>
      <c r="B15" s="1123" t="s">
        <v>108</v>
      </c>
      <c r="C15" s="659" t="s">
        <v>867</v>
      </c>
      <c r="D15" s="660"/>
      <c r="E15" s="661"/>
      <c r="F15" s="661"/>
      <c r="G15" s="663"/>
      <c r="H15" s="661"/>
      <c r="I15" s="661"/>
      <c r="J15" s="662"/>
      <c r="K15" s="659" t="s">
        <v>867</v>
      </c>
      <c r="L15" s="660"/>
      <c r="M15" s="661"/>
      <c r="N15" s="661"/>
      <c r="O15" s="663"/>
      <c r="P15" s="661"/>
      <c r="Q15" s="661"/>
      <c r="R15" s="662"/>
      <c r="S15" s="203"/>
      <c r="T15" s="203"/>
      <c r="U15" s="67"/>
      <c r="V15" s="67"/>
      <c r="W15" s="67"/>
      <c r="X15" s="67"/>
    </row>
    <row r="16" spans="1:24" s="68" customFormat="1" ht="25.5" customHeight="1" thickBot="1">
      <c r="A16" s="1817"/>
      <c r="B16" s="1214" t="s">
        <v>109</v>
      </c>
      <c r="C16" s="1215">
        <v>10</v>
      </c>
      <c r="D16" s="1216">
        <v>24</v>
      </c>
      <c r="E16" s="1217"/>
      <c r="F16" s="1217">
        <v>81</v>
      </c>
      <c r="G16" s="1217">
        <f t="shared" si="2"/>
        <v>81</v>
      </c>
      <c r="H16" s="1217">
        <v>33</v>
      </c>
      <c r="I16" s="1217"/>
      <c r="J16" s="1219">
        <f t="shared" si="3"/>
        <v>33</v>
      </c>
      <c r="K16" s="1215">
        <v>10</v>
      </c>
      <c r="L16" s="1216">
        <v>24</v>
      </c>
      <c r="M16" s="1217"/>
      <c r="N16" s="1217">
        <v>130</v>
      </c>
      <c r="O16" s="1217">
        <f t="shared" si="4"/>
        <v>130</v>
      </c>
      <c r="P16" s="1217">
        <v>34</v>
      </c>
      <c r="Q16" s="1217"/>
      <c r="R16" s="1219">
        <f t="shared" si="5"/>
        <v>34</v>
      </c>
      <c r="S16" s="203"/>
      <c r="T16" s="203"/>
      <c r="U16" s="67"/>
      <c r="V16" s="67"/>
      <c r="W16" s="67"/>
      <c r="X16" s="67"/>
    </row>
    <row r="17" spans="1:20" s="67" customFormat="1" ht="25.5" customHeight="1" thickBot="1" thickTop="1">
      <c r="A17" s="1819"/>
      <c r="B17" s="23" t="s">
        <v>196</v>
      </c>
      <c r="C17" s="1213">
        <f aca="true" t="shared" si="6" ref="C17:R17">SUM(C11:C16)</f>
        <v>654</v>
      </c>
      <c r="D17" s="204">
        <f t="shared" si="6"/>
        <v>1367</v>
      </c>
      <c r="E17" s="204">
        <f t="shared" si="6"/>
        <v>140</v>
      </c>
      <c r="F17" s="204">
        <f t="shared" si="6"/>
        <v>5969</v>
      </c>
      <c r="G17" s="204">
        <f t="shared" si="6"/>
        <v>6109</v>
      </c>
      <c r="H17" s="204">
        <f t="shared" si="6"/>
        <v>2807</v>
      </c>
      <c r="I17" s="204">
        <f t="shared" si="6"/>
        <v>386</v>
      </c>
      <c r="J17" s="205">
        <f t="shared" si="6"/>
        <v>3193</v>
      </c>
      <c r="K17" s="1213">
        <f t="shared" si="6"/>
        <v>658</v>
      </c>
      <c r="L17" s="204">
        <f t="shared" si="6"/>
        <v>1356</v>
      </c>
      <c r="M17" s="204">
        <f t="shared" si="6"/>
        <v>145</v>
      </c>
      <c r="N17" s="204">
        <f t="shared" si="6"/>
        <v>5089</v>
      </c>
      <c r="O17" s="204">
        <f t="shared" si="6"/>
        <v>5234</v>
      </c>
      <c r="P17" s="204">
        <f t="shared" si="6"/>
        <v>2406</v>
      </c>
      <c r="Q17" s="204">
        <f t="shared" si="6"/>
        <v>237</v>
      </c>
      <c r="R17" s="205">
        <f t="shared" si="6"/>
        <v>2643</v>
      </c>
      <c r="S17" s="203"/>
      <c r="T17" s="203"/>
    </row>
    <row r="18" spans="1:20" s="67" customFormat="1" ht="25.5" customHeight="1">
      <c r="A18" s="1816" t="s">
        <v>198</v>
      </c>
      <c r="B18" s="1122" t="s">
        <v>111</v>
      </c>
      <c r="C18" s="656">
        <v>38</v>
      </c>
      <c r="D18" s="657">
        <v>123</v>
      </c>
      <c r="E18" s="517">
        <v>337</v>
      </c>
      <c r="F18" s="517">
        <v>1072</v>
      </c>
      <c r="G18" s="658">
        <f aca="true" t="shared" si="7" ref="G18:G26">SUM(E18:F18)</f>
        <v>1409</v>
      </c>
      <c r="H18" s="517">
        <v>400</v>
      </c>
      <c r="I18" s="517"/>
      <c r="J18" s="518">
        <f aca="true" t="shared" si="8" ref="J18:J26">SUM(H18:I18)</f>
        <v>400</v>
      </c>
      <c r="K18" s="656">
        <v>27</v>
      </c>
      <c r="L18" s="657">
        <v>94</v>
      </c>
      <c r="M18" s="517">
        <v>123</v>
      </c>
      <c r="N18" s="517">
        <v>567</v>
      </c>
      <c r="O18" s="658">
        <f aca="true" t="shared" si="9" ref="O18:O25">SUM(M18:N18)</f>
        <v>690</v>
      </c>
      <c r="P18" s="517">
        <v>350</v>
      </c>
      <c r="Q18" s="517"/>
      <c r="R18" s="518">
        <f aca="true" t="shared" si="10" ref="R18:R26">SUM(P18:Q18)</f>
        <v>350</v>
      </c>
      <c r="S18" s="203"/>
      <c r="T18" s="203"/>
    </row>
    <row r="19" spans="1:20" s="67" customFormat="1" ht="25.5" customHeight="1">
      <c r="A19" s="1817"/>
      <c r="B19" s="1123" t="s">
        <v>112</v>
      </c>
      <c r="C19" s="659">
        <v>215</v>
      </c>
      <c r="D19" s="660">
        <v>826</v>
      </c>
      <c r="E19" s="661">
        <v>121</v>
      </c>
      <c r="F19" s="661">
        <v>3656</v>
      </c>
      <c r="G19" s="663">
        <f t="shared" si="7"/>
        <v>3777</v>
      </c>
      <c r="H19" s="661">
        <v>2023</v>
      </c>
      <c r="I19" s="661">
        <v>789</v>
      </c>
      <c r="J19" s="662">
        <f t="shared" si="8"/>
        <v>2812</v>
      </c>
      <c r="K19" s="659">
        <v>242</v>
      </c>
      <c r="L19" s="660">
        <v>842</v>
      </c>
      <c r="M19" s="661">
        <v>41</v>
      </c>
      <c r="N19" s="661">
        <v>5030</v>
      </c>
      <c r="O19" s="663">
        <f t="shared" si="9"/>
        <v>5071</v>
      </c>
      <c r="P19" s="661">
        <v>1904</v>
      </c>
      <c r="Q19" s="661">
        <v>572</v>
      </c>
      <c r="R19" s="662">
        <f t="shared" si="10"/>
        <v>2476</v>
      </c>
      <c r="S19" s="203"/>
      <c r="T19" s="203"/>
    </row>
    <row r="20" spans="1:20" s="67" customFormat="1" ht="25.5" customHeight="1">
      <c r="A20" s="1817"/>
      <c r="B20" s="1123" t="s">
        <v>113</v>
      </c>
      <c r="C20" s="659">
        <v>135</v>
      </c>
      <c r="D20" s="660">
        <v>372</v>
      </c>
      <c r="E20" s="661">
        <v>85</v>
      </c>
      <c r="F20" s="661">
        <v>1168</v>
      </c>
      <c r="G20" s="663">
        <f t="shared" si="7"/>
        <v>1253</v>
      </c>
      <c r="H20" s="661">
        <v>113</v>
      </c>
      <c r="I20" s="661">
        <v>142</v>
      </c>
      <c r="J20" s="662">
        <f t="shared" si="8"/>
        <v>255</v>
      </c>
      <c r="K20" s="659">
        <v>142</v>
      </c>
      <c r="L20" s="660">
        <v>379</v>
      </c>
      <c r="M20" s="661">
        <v>76</v>
      </c>
      <c r="N20" s="661">
        <v>1250</v>
      </c>
      <c r="O20" s="663">
        <f t="shared" si="9"/>
        <v>1326</v>
      </c>
      <c r="P20" s="661">
        <v>155</v>
      </c>
      <c r="Q20" s="661">
        <v>275</v>
      </c>
      <c r="R20" s="662">
        <f t="shared" si="10"/>
        <v>430</v>
      </c>
      <c r="S20" s="203"/>
      <c r="T20" s="203"/>
    </row>
    <row r="21" spans="1:20" s="67" customFormat="1" ht="25.5" customHeight="1">
      <c r="A21" s="1817"/>
      <c r="B21" s="1123" t="s">
        <v>115</v>
      </c>
      <c r="C21" s="659">
        <v>6</v>
      </c>
      <c r="D21" s="660">
        <v>15</v>
      </c>
      <c r="E21" s="661"/>
      <c r="F21" s="661">
        <v>121</v>
      </c>
      <c r="G21" s="663">
        <f t="shared" si="7"/>
        <v>121</v>
      </c>
      <c r="H21" s="661">
        <v>104</v>
      </c>
      <c r="I21" s="661"/>
      <c r="J21" s="662">
        <f t="shared" si="8"/>
        <v>104</v>
      </c>
      <c r="K21" s="659">
        <v>7</v>
      </c>
      <c r="L21" s="660">
        <v>17</v>
      </c>
      <c r="M21" s="661"/>
      <c r="N21" s="661">
        <v>175</v>
      </c>
      <c r="O21" s="663">
        <f t="shared" si="9"/>
        <v>175</v>
      </c>
      <c r="P21" s="661">
        <v>243</v>
      </c>
      <c r="Q21" s="661"/>
      <c r="R21" s="662">
        <f t="shared" si="10"/>
        <v>243</v>
      </c>
      <c r="S21" s="203"/>
      <c r="T21" s="203"/>
    </row>
    <row r="22" spans="1:20" s="67" customFormat="1" ht="25.5" customHeight="1">
      <c r="A22" s="1817"/>
      <c r="B22" s="1123" t="s">
        <v>116</v>
      </c>
      <c r="C22" s="659">
        <v>98</v>
      </c>
      <c r="D22" s="660">
        <v>147</v>
      </c>
      <c r="E22" s="661"/>
      <c r="F22" s="661">
        <v>738</v>
      </c>
      <c r="G22" s="663">
        <f t="shared" si="7"/>
        <v>738</v>
      </c>
      <c r="H22" s="661">
        <v>101</v>
      </c>
      <c r="I22" s="661">
        <v>28</v>
      </c>
      <c r="J22" s="662">
        <f t="shared" si="8"/>
        <v>129</v>
      </c>
      <c r="K22" s="659">
        <v>92</v>
      </c>
      <c r="L22" s="660">
        <v>139</v>
      </c>
      <c r="M22" s="661"/>
      <c r="N22" s="661">
        <v>723</v>
      </c>
      <c r="O22" s="663">
        <f t="shared" si="9"/>
        <v>723</v>
      </c>
      <c r="P22" s="661">
        <v>111</v>
      </c>
      <c r="Q22" s="661">
        <v>25</v>
      </c>
      <c r="R22" s="662">
        <f t="shared" si="10"/>
        <v>136</v>
      </c>
      <c r="S22" s="203"/>
      <c r="T22" s="203"/>
    </row>
    <row r="23" spans="1:20" s="67" customFormat="1" ht="25.5" customHeight="1">
      <c r="A23" s="1817"/>
      <c r="B23" s="1125" t="s">
        <v>117</v>
      </c>
      <c r="C23" s="666">
        <v>82</v>
      </c>
      <c r="D23" s="667">
        <v>266</v>
      </c>
      <c r="E23" s="668">
        <v>29</v>
      </c>
      <c r="F23" s="668">
        <v>800</v>
      </c>
      <c r="G23" s="663">
        <f t="shared" si="7"/>
        <v>829</v>
      </c>
      <c r="H23" s="668">
        <v>152</v>
      </c>
      <c r="I23" s="668"/>
      <c r="J23" s="662">
        <f t="shared" si="8"/>
        <v>152</v>
      </c>
      <c r="K23" s="666">
        <v>68</v>
      </c>
      <c r="L23" s="667">
        <v>193</v>
      </c>
      <c r="M23" s="668"/>
      <c r="N23" s="668">
        <v>1130</v>
      </c>
      <c r="O23" s="663">
        <f t="shared" si="9"/>
        <v>1130</v>
      </c>
      <c r="P23" s="668">
        <v>219</v>
      </c>
      <c r="Q23" s="668"/>
      <c r="R23" s="662">
        <f t="shared" si="10"/>
        <v>219</v>
      </c>
      <c r="S23" s="203"/>
      <c r="T23" s="203"/>
    </row>
    <row r="24" spans="1:20" s="67" customFormat="1" ht="25.5" customHeight="1">
      <c r="A24" s="1817"/>
      <c r="B24" s="1123" t="s">
        <v>54</v>
      </c>
      <c r="C24" s="659">
        <v>76</v>
      </c>
      <c r="D24" s="660">
        <v>117</v>
      </c>
      <c r="E24" s="661"/>
      <c r="F24" s="661">
        <v>94</v>
      </c>
      <c r="G24" s="663">
        <f t="shared" si="7"/>
        <v>94</v>
      </c>
      <c r="H24" s="661">
        <v>135</v>
      </c>
      <c r="I24" s="661"/>
      <c r="J24" s="662">
        <f t="shared" si="8"/>
        <v>135</v>
      </c>
      <c r="K24" s="659">
        <v>76</v>
      </c>
      <c r="L24" s="660">
        <v>117</v>
      </c>
      <c r="M24" s="661"/>
      <c r="N24" s="661">
        <v>120</v>
      </c>
      <c r="O24" s="663">
        <f t="shared" si="9"/>
        <v>120</v>
      </c>
      <c r="P24" s="661">
        <v>135</v>
      </c>
      <c r="Q24" s="661"/>
      <c r="R24" s="662">
        <f t="shared" si="10"/>
        <v>135</v>
      </c>
      <c r="S24" s="203"/>
      <c r="T24" s="203"/>
    </row>
    <row r="25" spans="1:20" s="67" customFormat="1" ht="25.5" customHeight="1">
      <c r="A25" s="1817"/>
      <c r="B25" s="1123" t="s">
        <v>118</v>
      </c>
      <c r="C25" s="659">
        <v>230</v>
      </c>
      <c r="D25" s="660">
        <v>406</v>
      </c>
      <c r="E25" s="661"/>
      <c r="F25" s="661">
        <v>1855</v>
      </c>
      <c r="G25" s="663">
        <f t="shared" si="7"/>
        <v>1855</v>
      </c>
      <c r="H25" s="661"/>
      <c r="I25" s="661"/>
      <c r="J25" s="662">
        <f t="shared" si="8"/>
        <v>0</v>
      </c>
      <c r="K25" s="659">
        <v>224</v>
      </c>
      <c r="L25" s="660">
        <v>393</v>
      </c>
      <c r="M25" s="661"/>
      <c r="N25" s="661">
        <v>1832</v>
      </c>
      <c r="O25" s="663">
        <f t="shared" si="9"/>
        <v>1832</v>
      </c>
      <c r="P25" s="661"/>
      <c r="Q25" s="661"/>
      <c r="R25" s="662">
        <f t="shared" si="10"/>
        <v>0</v>
      </c>
      <c r="S25" s="203"/>
      <c r="T25" s="203"/>
    </row>
    <row r="26" spans="1:20" s="67" customFormat="1" ht="25.5" customHeight="1" thickBot="1">
      <c r="A26" s="1817"/>
      <c r="B26" s="1214" t="s">
        <v>120</v>
      </c>
      <c r="C26" s="1215">
        <v>97</v>
      </c>
      <c r="D26" s="1216">
        <v>197</v>
      </c>
      <c r="E26" s="1217">
        <v>10</v>
      </c>
      <c r="F26" s="1217">
        <v>1032</v>
      </c>
      <c r="G26" s="1218">
        <f t="shared" si="7"/>
        <v>1042</v>
      </c>
      <c r="H26" s="1217">
        <v>708</v>
      </c>
      <c r="I26" s="1217">
        <v>51</v>
      </c>
      <c r="J26" s="1219">
        <f t="shared" si="8"/>
        <v>759</v>
      </c>
      <c r="K26" s="1215">
        <v>106</v>
      </c>
      <c r="L26" s="1216">
        <v>211</v>
      </c>
      <c r="M26" s="1217">
        <v>12</v>
      </c>
      <c r="N26" s="1217">
        <v>1121</v>
      </c>
      <c r="O26" s="1218">
        <f>SUM(M26:N26)</f>
        <v>1133</v>
      </c>
      <c r="P26" s="1217">
        <v>692</v>
      </c>
      <c r="Q26" s="1217">
        <v>47</v>
      </c>
      <c r="R26" s="1219">
        <f t="shared" si="10"/>
        <v>739</v>
      </c>
      <c r="S26" s="203"/>
      <c r="T26" s="203"/>
    </row>
    <row r="27" spans="1:20" s="67" customFormat="1" ht="25.5" customHeight="1" thickBot="1" thickTop="1">
      <c r="A27" s="1819"/>
      <c r="B27" s="23" t="s">
        <v>196</v>
      </c>
      <c r="C27" s="1213">
        <f aca="true" t="shared" si="11" ref="C27:R27">SUM(C18:C26)</f>
        <v>977</v>
      </c>
      <c r="D27" s="204">
        <f t="shared" si="11"/>
        <v>2469</v>
      </c>
      <c r="E27" s="204">
        <f t="shared" si="11"/>
        <v>582</v>
      </c>
      <c r="F27" s="204">
        <f t="shared" si="11"/>
        <v>10536</v>
      </c>
      <c r="G27" s="204">
        <f t="shared" si="11"/>
        <v>11118</v>
      </c>
      <c r="H27" s="204">
        <f t="shared" si="11"/>
        <v>3736</v>
      </c>
      <c r="I27" s="204">
        <f t="shared" si="11"/>
        <v>1010</v>
      </c>
      <c r="J27" s="205">
        <f t="shared" si="11"/>
        <v>4746</v>
      </c>
      <c r="K27" s="1213">
        <f t="shared" si="11"/>
        <v>984</v>
      </c>
      <c r="L27" s="204">
        <f t="shared" si="11"/>
        <v>2385</v>
      </c>
      <c r="M27" s="204">
        <f t="shared" si="11"/>
        <v>252</v>
      </c>
      <c r="N27" s="204">
        <f t="shared" si="11"/>
        <v>11948</v>
      </c>
      <c r="O27" s="204">
        <f t="shared" si="11"/>
        <v>12200</v>
      </c>
      <c r="P27" s="204">
        <f t="shared" si="11"/>
        <v>3809</v>
      </c>
      <c r="Q27" s="204">
        <f t="shared" si="11"/>
        <v>919</v>
      </c>
      <c r="R27" s="205">
        <f t="shared" si="11"/>
        <v>4728</v>
      </c>
      <c r="S27" s="203"/>
      <c r="T27" s="203"/>
    </row>
    <row r="28" spans="1:18" s="69" customFormat="1" ht="13.5">
      <c r="A28" s="931" t="s">
        <v>936</v>
      </c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2:18" s="68" customFormat="1" ht="13.5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2:18" s="68" customFormat="1" ht="13.5"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2:18" s="68" customFormat="1" ht="13.5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2:18" s="68" customFormat="1" ht="13.5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2:18" s="68" customFormat="1" ht="13.5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2:18" s="68" customFormat="1" ht="13.5"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2:18" s="68" customFormat="1" ht="13.5"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2:18" s="68" customFormat="1" ht="13.5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2:18" s="68" customFormat="1" ht="13.5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2:18" s="68" customFormat="1" ht="13.5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2:18" s="68" customFormat="1" ht="13.5"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2:18" s="68" customFormat="1" ht="13.5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2:18" s="68" customFormat="1" ht="13.5"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2:18" s="68" customFormat="1" ht="13.5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2:18" s="68" customFormat="1" ht="13.5"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2:18" s="68" customFormat="1" ht="13.5"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2:18" s="68" customFormat="1" ht="13.5"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2:18" s="68" customFormat="1" ht="13.5">
      <c r="B46" s="72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2:18" s="68" customFormat="1" ht="13.5"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8" s="68" customFormat="1" ht="13.5"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2:18" s="68" customFormat="1" ht="13.5"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2:18" s="68" customFormat="1" ht="13.5"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2:18" s="68" customFormat="1" ht="13.5"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2:18" s="68" customFormat="1" ht="13.5"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2:18" s="68" customFormat="1" ht="13.5"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2:18" s="68" customFormat="1" ht="13.5">
      <c r="B54" s="7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2:18" s="68" customFormat="1" ht="13.5"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2:18" s="68" customFormat="1" ht="13.5"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2:18" s="68" customFormat="1" ht="13.5"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2:18" s="68" customFormat="1" ht="13.5">
      <c r="B58" s="72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2:18" s="68" customFormat="1" ht="13.5">
      <c r="B59" s="72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2:18" s="68" customFormat="1" ht="13.5"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2:18" s="68" customFormat="1" ht="13.5"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2:18" s="68" customFormat="1" ht="13.5"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18" s="68" customFormat="1" ht="13.5">
      <c r="B63" s="72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 s="68" customFormat="1" ht="13.5">
      <c r="B64" s="7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 s="68" customFormat="1" ht="13.5"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 s="68" customFormat="1" ht="13.5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2:18" s="68" customFormat="1" ht="13.5"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2:18" s="68" customFormat="1" ht="13.5"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2:18" s="68" customFormat="1" ht="13.5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2:18" s="68" customFormat="1" ht="13.5"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2:18" s="68" customFormat="1" ht="13.5">
      <c r="B71" s="72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2:18" s="68" customFormat="1" ht="13.5">
      <c r="B72" s="72"/>
      <c r="C72" s="74"/>
      <c r="D72" s="75"/>
      <c r="E72" s="74"/>
      <c r="F72" s="74"/>
      <c r="G72" s="74"/>
      <c r="H72" s="74"/>
      <c r="I72" s="74"/>
      <c r="J72" s="74"/>
      <c r="K72" s="74"/>
      <c r="L72" s="75"/>
      <c r="M72" s="75"/>
      <c r="N72" s="75"/>
      <c r="O72" s="75"/>
      <c r="P72" s="75"/>
      <c r="Q72" s="75"/>
      <c r="R72" s="75"/>
    </row>
    <row r="73" spans="2:18" s="68" customFormat="1" ht="13.5">
      <c r="B73" s="72"/>
      <c r="C73" s="74"/>
      <c r="D73" s="75"/>
      <c r="E73" s="74"/>
      <c r="F73" s="74"/>
      <c r="G73" s="74"/>
      <c r="H73" s="74"/>
      <c r="I73" s="74"/>
      <c r="J73" s="74"/>
      <c r="K73" s="74"/>
      <c r="L73" s="75"/>
      <c r="M73" s="75"/>
      <c r="N73" s="75"/>
      <c r="O73" s="75"/>
      <c r="P73" s="75"/>
      <c r="Q73" s="75"/>
      <c r="R73" s="75"/>
    </row>
    <row r="74" spans="2:18" s="68" customFormat="1" ht="13.5">
      <c r="B74" s="72"/>
      <c r="C74" s="74"/>
      <c r="D74" s="75"/>
      <c r="E74" s="74"/>
      <c r="F74" s="74"/>
      <c r="G74" s="74"/>
      <c r="H74" s="74"/>
      <c r="I74" s="74"/>
      <c r="J74" s="74"/>
      <c r="K74" s="74"/>
      <c r="L74" s="75"/>
      <c r="M74" s="75"/>
      <c r="N74" s="75"/>
      <c r="O74" s="75"/>
      <c r="P74" s="75"/>
      <c r="Q74" s="75"/>
      <c r="R74" s="75"/>
    </row>
    <row r="75" spans="2:18" s="68" customFormat="1" ht="13.5">
      <c r="B75" s="72"/>
      <c r="C75" s="74"/>
      <c r="D75" s="75"/>
      <c r="E75" s="74"/>
      <c r="F75" s="74"/>
      <c r="G75" s="74"/>
      <c r="H75" s="74"/>
      <c r="I75" s="74"/>
      <c r="J75" s="74"/>
      <c r="K75" s="74"/>
      <c r="L75" s="75"/>
      <c r="M75" s="75"/>
      <c r="N75" s="75"/>
      <c r="O75" s="75"/>
      <c r="P75" s="75"/>
      <c r="Q75" s="75"/>
      <c r="R75" s="75"/>
    </row>
    <row r="76" spans="2:18" s="68" customFormat="1" ht="13.5">
      <c r="B76" s="72"/>
      <c r="C76" s="74"/>
      <c r="D76" s="75"/>
      <c r="E76" s="74"/>
      <c r="F76" s="74"/>
      <c r="G76" s="74"/>
      <c r="H76" s="74"/>
      <c r="I76" s="74"/>
      <c r="J76" s="74"/>
      <c r="K76" s="74"/>
      <c r="L76" s="75"/>
      <c r="M76" s="75"/>
      <c r="N76" s="75"/>
      <c r="O76" s="75"/>
      <c r="P76" s="75"/>
      <c r="Q76" s="75"/>
      <c r="R76" s="75"/>
    </row>
    <row r="77" spans="2:18" s="68" customFormat="1" ht="13.5">
      <c r="B77" s="72"/>
      <c r="C77" s="74"/>
      <c r="D77" s="75"/>
      <c r="E77" s="74"/>
      <c r="F77" s="74"/>
      <c r="G77" s="74"/>
      <c r="H77" s="74"/>
      <c r="I77" s="74"/>
      <c r="J77" s="74"/>
      <c r="K77" s="74"/>
      <c r="L77" s="75"/>
      <c r="M77" s="75"/>
      <c r="N77" s="75"/>
      <c r="O77" s="75"/>
      <c r="P77" s="75"/>
      <c r="Q77" s="75"/>
      <c r="R77" s="75"/>
    </row>
    <row r="78" spans="2:18" s="68" customFormat="1" ht="13.5">
      <c r="B78" s="72"/>
      <c r="C78" s="74"/>
      <c r="D78" s="75"/>
      <c r="E78" s="74"/>
      <c r="F78" s="74"/>
      <c r="G78" s="74"/>
      <c r="H78" s="74"/>
      <c r="I78" s="74"/>
      <c r="J78" s="74"/>
      <c r="K78" s="74"/>
      <c r="L78" s="75"/>
      <c r="M78" s="75"/>
      <c r="N78" s="75"/>
      <c r="O78" s="75"/>
      <c r="P78" s="75"/>
      <c r="Q78" s="75"/>
      <c r="R78" s="75"/>
    </row>
    <row r="79" spans="2:18" s="68" customFormat="1" ht="13.5">
      <c r="B79" s="72"/>
      <c r="C79" s="74"/>
      <c r="D79" s="75"/>
      <c r="E79" s="74"/>
      <c r="F79" s="74"/>
      <c r="G79" s="74"/>
      <c r="H79" s="74"/>
      <c r="I79" s="74"/>
      <c r="J79" s="74"/>
      <c r="K79" s="74"/>
      <c r="L79" s="75"/>
      <c r="M79" s="75"/>
      <c r="N79" s="75"/>
      <c r="O79" s="75"/>
      <c r="P79" s="75"/>
      <c r="Q79" s="75"/>
      <c r="R79" s="75"/>
    </row>
    <row r="80" spans="2:18" s="68" customFormat="1" ht="13.5">
      <c r="B80" s="72"/>
      <c r="C80" s="74"/>
      <c r="D80" s="75"/>
      <c r="E80" s="74"/>
      <c r="F80" s="74"/>
      <c r="G80" s="74"/>
      <c r="H80" s="74"/>
      <c r="I80" s="74"/>
      <c r="J80" s="74"/>
      <c r="K80" s="74"/>
      <c r="L80" s="75"/>
      <c r="M80" s="75"/>
      <c r="N80" s="75"/>
      <c r="O80" s="75"/>
      <c r="P80" s="75"/>
      <c r="Q80" s="75"/>
      <c r="R80" s="75"/>
    </row>
    <row r="81" spans="2:18" s="68" customFormat="1" ht="13.5">
      <c r="B81" s="72"/>
      <c r="C81" s="74"/>
      <c r="D81" s="75"/>
      <c r="E81" s="74"/>
      <c r="F81" s="74"/>
      <c r="G81" s="74"/>
      <c r="H81" s="74"/>
      <c r="I81" s="74"/>
      <c r="J81" s="74"/>
      <c r="K81" s="74"/>
      <c r="L81" s="75"/>
      <c r="M81" s="75"/>
      <c r="N81" s="75"/>
      <c r="O81" s="75"/>
      <c r="P81" s="75"/>
      <c r="Q81" s="75"/>
      <c r="R81" s="75"/>
    </row>
    <row r="82" spans="2:18" s="68" customFormat="1" ht="13.5">
      <c r="B82" s="72"/>
      <c r="C82" s="74"/>
      <c r="D82" s="75"/>
      <c r="E82" s="74"/>
      <c r="F82" s="74"/>
      <c r="G82" s="74"/>
      <c r="H82" s="74"/>
      <c r="I82" s="74"/>
      <c r="J82" s="74"/>
      <c r="K82" s="74"/>
      <c r="L82" s="75"/>
      <c r="M82" s="75"/>
      <c r="N82" s="75"/>
      <c r="O82" s="75"/>
      <c r="P82" s="75"/>
      <c r="Q82" s="75"/>
      <c r="R82" s="75"/>
    </row>
  </sheetData>
  <sheetProtection/>
  <mergeCells count="15">
    <mergeCell ref="K2:K3"/>
    <mergeCell ref="K1:R1"/>
    <mergeCell ref="C2:C3"/>
    <mergeCell ref="D2:D3"/>
    <mergeCell ref="A4:B4"/>
    <mergeCell ref="A5:A10"/>
    <mergeCell ref="A11:A17"/>
    <mergeCell ref="L2:L3"/>
    <mergeCell ref="M2:O2"/>
    <mergeCell ref="P2:R2"/>
    <mergeCell ref="A18:A27"/>
    <mergeCell ref="A1:B3"/>
    <mergeCell ref="C1:J1"/>
    <mergeCell ref="E2:G2"/>
    <mergeCell ref="H2:J2"/>
  </mergeCells>
  <printOptions/>
  <pageMargins left="0.7480314960629921" right="0.1968503937007874" top="0.7480314960629921" bottom="0.1968503937007874" header="0.4330708661417323" footer="0.3937007874015748"/>
  <pageSetup firstPageNumber="20" useFirstPageNumber="1" horizontalDpi="600" verticalDpi="600" orientation="portrait" paperSize="9" scale="115" r:id="rId1"/>
  <headerFooter scaleWithDoc="0" alignWithMargins="0">
    <oddHeader>&amp;L&amp;"ＭＳ Ｐゴシック,太字"９　女性（婦人）を対象とした学級・講座開設状況</oddHeader>
    <oddFooter>&amp;C&amp;12&amp;P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28"/>
  <sheetViews>
    <sheetView showZeros="0" view="pageBreakPreview" zoomScale="105" zoomScaleNormal="105" zoomScaleSheetLayoutView="105" zoomScalePageLayoutView="0" workbookViewId="0" topLeftCell="A1">
      <pane xSplit="2" ySplit="4" topLeftCell="C5" activePane="bottomRight" state="frozen"/>
      <selection pane="topLeft" activeCell="N6" sqref="N6"/>
      <selection pane="topRight" activeCell="N6" sqref="N6"/>
      <selection pane="bottomLeft" activeCell="N6" sqref="N6"/>
      <selection pane="bottomRight" activeCell="N6" sqref="N6"/>
    </sheetView>
  </sheetViews>
  <sheetFormatPr defaultColWidth="9.00390625" defaultRowHeight="13.5"/>
  <cols>
    <col min="1" max="1" width="3.25390625" style="1224" customWidth="1"/>
    <col min="2" max="2" width="11.25390625" style="1224" customWidth="1"/>
    <col min="3" max="3" width="6.375" style="1224" customWidth="1"/>
    <col min="4" max="4" width="8.375" style="1224" customWidth="1"/>
    <col min="5" max="10" width="7.625" style="1224" customWidth="1"/>
    <col min="11" max="11" width="3.25390625" style="1224" customWidth="1"/>
    <col min="12" max="12" width="11.25390625" style="1224" customWidth="1"/>
    <col min="13" max="13" width="6.375" style="1224" customWidth="1"/>
    <col min="14" max="14" width="8.375" style="1224" customWidth="1"/>
    <col min="15" max="20" width="7.625" style="1224" customWidth="1"/>
    <col min="21" max="16384" width="9.00390625" style="1224" customWidth="1"/>
  </cols>
  <sheetData>
    <row r="1" spans="1:20" s="42" customFormat="1" ht="24" customHeight="1">
      <c r="A1" s="1845" t="s">
        <v>199</v>
      </c>
      <c r="B1" s="1846"/>
      <c r="C1" s="1851" t="s">
        <v>938</v>
      </c>
      <c r="D1" s="1852"/>
      <c r="E1" s="1852"/>
      <c r="F1" s="1852"/>
      <c r="G1" s="1852"/>
      <c r="H1" s="1852"/>
      <c r="I1" s="1852"/>
      <c r="J1" s="1853"/>
      <c r="K1" s="1845" t="s">
        <v>199</v>
      </c>
      <c r="L1" s="1846"/>
      <c r="M1" s="1851" t="s">
        <v>932</v>
      </c>
      <c r="N1" s="1852"/>
      <c r="O1" s="1852"/>
      <c r="P1" s="1852"/>
      <c r="Q1" s="1852"/>
      <c r="R1" s="1852"/>
      <c r="S1" s="1852"/>
      <c r="T1" s="1853"/>
    </row>
    <row r="2" spans="1:20" s="42" customFormat="1" ht="24" customHeight="1">
      <c r="A2" s="1847"/>
      <c r="B2" s="1848"/>
      <c r="C2" s="1854" t="s">
        <v>90</v>
      </c>
      <c r="D2" s="1855"/>
      <c r="E2" s="1855"/>
      <c r="F2" s="1855"/>
      <c r="G2" s="1855"/>
      <c r="H2" s="1855"/>
      <c r="I2" s="1855"/>
      <c r="J2" s="1856"/>
      <c r="K2" s="1847"/>
      <c r="L2" s="1848"/>
      <c r="M2" s="1854" t="s">
        <v>90</v>
      </c>
      <c r="N2" s="1855"/>
      <c r="O2" s="1855"/>
      <c r="P2" s="1855"/>
      <c r="Q2" s="1855"/>
      <c r="R2" s="1855"/>
      <c r="S2" s="1855"/>
      <c r="T2" s="1856"/>
    </row>
    <row r="3" spans="1:20" s="42" customFormat="1" ht="24" customHeight="1">
      <c r="A3" s="1847"/>
      <c r="B3" s="1848"/>
      <c r="C3" s="1857" t="s">
        <v>200</v>
      </c>
      <c r="D3" s="76" t="s">
        <v>201</v>
      </c>
      <c r="E3" s="1859" t="s">
        <v>768</v>
      </c>
      <c r="F3" s="1860"/>
      <c r="G3" s="1861"/>
      <c r="H3" s="1841" t="s">
        <v>78</v>
      </c>
      <c r="I3" s="1841"/>
      <c r="J3" s="1842"/>
      <c r="K3" s="1847"/>
      <c r="L3" s="1848"/>
      <c r="M3" s="1857" t="s">
        <v>200</v>
      </c>
      <c r="N3" s="76" t="s">
        <v>201</v>
      </c>
      <c r="O3" s="1800" t="s">
        <v>768</v>
      </c>
      <c r="P3" s="1801"/>
      <c r="Q3" s="1840"/>
      <c r="R3" s="1841" t="s">
        <v>78</v>
      </c>
      <c r="S3" s="1841"/>
      <c r="T3" s="1842"/>
    </row>
    <row r="4" spans="1:20" s="42" customFormat="1" ht="24" customHeight="1" thickBot="1">
      <c r="A4" s="1849"/>
      <c r="B4" s="1850"/>
      <c r="C4" s="1858"/>
      <c r="D4" s="77" t="s">
        <v>202</v>
      </c>
      <c r="E4" s="78" t="s">
        <v>192</v>
      </c>
      <c r="F4" s="78" t="s">
        <v>193</v>
      </c>
      <c r="G4" s="78" t="s">
        <v>96</v>
      </c>
      <c r="H4" s="79" t="s">
        <v>90</v>
      </c>
      <c r="I4" s="79" t="s">
        <v>55</v>
      </c>
      <c r="J4" s="80" t="s">
        <v>91</v>
      </c>
      <c r="K4" s="1849"/>
      <c r="L4" s="1850"/>
      <c r="M4" s="1858"/>
      <c r="N4" s="77" t="s">
        <v>202</v>
      </c>
      <c r="O4" s="81" t="s">
        <v>192</v>
      </c>
      <c r="P4" s="81" t="s">
        <v>193</v>
      </c>
      <c r="Q4" s="81" t="s">
        <v>96</v>
      </c>
      <c r="R4" s="79" t="s">
        <v>90</v>
      </c>
      <c r="S4" s="79" t="s">
        <v>55</v>
      </c>
      <c r="T4" s="80" t="s">
        <v>91</v>
      </c>
    </row>
    <row r="5" spans="1:20" s="42" customFormat="1" ht="24" customHeight="1" thickBot="1">
      <c r="A5" s="1843" t="s">
        <v>203</v>
      </c>
      <c r="B5" s="1844"/>
      <c r="C5" s="709">
        <f aca="true" t="shared" si="0" ref="C5:I5">SUM(C11+C18+C28)</f>
        <v>3854</v>
      </c>
      <c r="D5" s="710">
        <f t="shared" si="0"/>
        <v>7738</v>
      </c>
      <c r="E5" s="710">
        <f t="shared" si="0"/>
        <v>13874</v>
      </c>
      <c r="F5" s="710">
        <f t="shared" si="0"/>
        <v>26668</v>
      </c>
      <c r="G5" s="710">
        <f t="shared" si="0"/>
        <v>40542</v>
      </c>
      <c r="H5" s="710">
        <f t="shared" si="0"/>
        <v>18004</v>
      </c>
      <c r="I5" s="710">
        <f t="shared" si="0"/>
        <v>1929</v>
      </c>
      <c r="J5" s="711">
        <f>H5+I5</f>
        <v>19933</v>
      </c>
      <c r="K5" s="1843" t="s">
        <v>203</v>
      </c>
      <c r="L5" s="1844"/>
      <c r="M5" s="709">
        <f>SUM(M11+M18+M28)</f>
        <v>3801</v>
      </c>
      <c r="N5" s="710">
        <f aca="true" t="shared" si="1" ref="N5:S5">SUM(N11+N18+N28)</f>
        <v>7702</v>
      </c>
      <c r="O5" s="710">
        <f t="shared" si="1"/>
        <v>16349</v>
      </c>
      <c r="P5" s="710">
        <f t="shared" si="1"/>
        <v>29417</v>
      </c>
      <c r="Q5" s="710">
        <f t="shared" si="1"/>
        <v>45766</v>
      </c>
      <c r="R5" s="710">
        <f t="shared" si="1"/>
        <v>19826</v>
      </c>
      <c r="S5" s="710">
        <f t="shared" si="1"/>
        <v>2191</v>
      </c>
      <c r="T5" s="711">
        <f>R5+S5</f>
        <v>22017</v>
      </c>
    </row>
    <row r="6" spans="1:20" s="42" customFormat="1" ht="24" customHeight="1">
      <c r="A6" s="1837" t="s">
        <v>204</v>
      </c>
      <c r="B6" s="487" t="s">
        <v>93</v>
      </c>
      <c r="C6" s="712">
        <v>172</v>
      </c>
      <c r="D6" s="713">
        <v>357</v>
      </c>
      <c r="E6" s="714">
        <v>831</v>
      </c>
      <c r="F6" s="714">
        <v>1392</v>
      </c>
      <c r="G6" s="714">
        <f>SUM(E6:F6)</f>
        <v>2223</v>
      </c>
      <c r="H6" s="713">
        <v>2362</v>
      </c>
      <c r="I6" s="713">
        <v>0</v>
      </c>
      <c r="J6" s="715">
        <f aca="true" t="shared" si="2" ref="J6:J28">H6+I6</f>
        <v>2362</v>
      </c>
      <c r="K6" s="1837" t="s">
        <v>204</v>
      </c>
      <c r="L6" s="487" t="s">
        <v>93</v>
      </c>
      <c r="M6" s="712">
        <v>158</v>
      </c>
      <c r="N6" s="713">
        <v>329</v>
      </c>
      <c r="O6" s="714">
        <v>760</v>
      </c>
      <c r="P6" s="714">
        <v>1243</v>
      </c>
      <c r="Q6" s="714">
        <f>SUM(O6:P6)</f>
        <v>2003</v>
      </c>
      <c r="R6" s="713">
        <v>2733</v>
      </c>
      <c r="S6" s="713">
        <v>0</v>
      </c>
      <c r="T6" s="715">
        <f aca="true" t="shared" si="3" ref="T6:T28">R6+S6</f>
        <v>2733</v>
      </c>
    </row>
    <row r="7" spans="1:20" s="42" customFormat="1" ht="24" customHeight="1">
      <c r="A7" s="1838"/>
      <c r="B7" s="190" t="s">
        <v>97</v>
      </c>
      <c r="C7" s="716">
        <v>399</v>
      </c>
      <c r="D7" s="717">
        <v>830</v>
      </c>
      <c r="E7" s="718">
        <v>767</v>
      </c>
      <c r="F7" s="718">
        <v>1721</v>
      </c>
      <c r="G7" s="714">
        <f>SUM(E7:F7)</f>
        <v>2488</v>
      </c>
      <c r="H7" s="713">
        <v>2111</v>
      </c>
      <c r="I7" s="713">
        <v>0</v>
      </c>
      <c r="J7" s="719">
        <f t="shared" si="2"/>
        <v>2111</v>
      </c>
      <c r="K7" s="1838"/>
      <c r="L7" s="190" t="s">
        <v>97</v>
      </c>
      <c r="M7" s="716">
        <v>348</v>
      </c>
      <c r="N7" s="717">
        <v>770</v>
      </c>
      <c r="O7" s="718">
        <v>914</v>
      </c>
      <c r="P7" s="718">
        <v>1257</v>
      </c>
      <c r="Q7" s="714">
        <f>SUM(O7:P7)</f>
        <v>2171</v>
      </c>
      <c r="R7" s="713">
        <v>1878</v>
      </c>
      <c r="S7" s="713">
        <v>0</v>
      </c>
      <c r="T7" s="719">
        <f t="shared" si="3"/>
        <v>1878</v>
      </c>
    </row>
    <row r="8" spans="1:20" s="42" customFormat="1" ht="24" customHeight="1">
      <c r="A8" s="1838"/>
      <c r="B8" s="190" t="s">
        <v>39</v>
      </c>
      <c r="C8" s="716">
        <v>550</v>
      </c>
      <c r="D8" s="717">
        <v>1114</v>
      </c>
      <c r="E8" s="718">
        <v>1567</v>
      </c>
      <c r="F8" s="718">
        <v>2093</v>
      </c>
      <c r="G8" s="718">
        <f>SUM(E8:F8)</f>
        <v>3660</v>
      </c>
      <c r="H8" s="717">
        <v>180</v>
      </c>
      <c r="I8" s="717">
        <v>195</v>
      </c>
      <c r="J8" s="719">
        <f t="shared" si="2"/>
        <v>375</v>
      </c>
      <c r="K8" s="1838"/>
      <c r="L8" s="190" t="s">
        <v>39</v>
      </c>
      <c r="M8" s="716">
        <v>600</v>
      </c>
      <c r="N8" s="717">
        <v>1157</v>
      </c>
      <c r="O8" s="718">
        <v>1540</v>
      </c>
      <c r="P8" s="718">
        <v>2422</v>
      </c>
      <c r="Q8" s="718">
        <f>SUM(O8:P8)</f>
        <v>3962</v>
      </c>
      <c r="R8" s="717">
        <v>156</v>
      </c>
      <c r="S8" s="717">
        <v>185</v>
      </c>
      <c r="T8" s="719">
        <f t="shared" si="3"/>
        <v>341</v>
      </c>
    </row>
    <row r="9" spans="1:20" s="42" customFormat="1" ht="24" customHeight="1">
      <c r="A9" s="1838"/>
      <c r="B9" s="490" t="s">
        <v>100</v>
      </c>
      <c r="C9" s="712">
        <v>1237</v>
      </c>
      <c r="D9" s="713">
        <v>1959</v>
      </c>
      <c r="E9" s="714">
        <v>2624</v>
      </c>
      <c r="F9" s="714">
        <v>10167</v>
      </c>
      <c r="G9" s="714">
        <f>SUM(E9:F9)</f>
        <v>12791</v>
      </c>
      <c r="H9" s="713">
        <v>4893</v>
      </c>
      <c r="I9" s="713">
        <v>44</v>
      </c>
      <c r="J9" s="719">
        <f t="shared" si="2"/>
        <v>4937</v>
      </c>
      <c r="K9" s="1838"/>
      <c r="L9" s="490" t="s">
        <v>100</v>
      </c>
      <c r="M9" s="712">
        <v>1269</v>
      </c>
      <c r="N9" s="713">
        <v>2076</v>
      </c>
      <c r="O9" s="714">
        <v>2973</v>
      </c>
      <c r="P9" s="714">
        <v>10693</v>
      </c>
      <c r="Q9" s="714">
        <f>SUM(O9:P9)</f>
        <v>13666</v>
      </c>
      <c r="R9" s="713">
        <v>5307</v>
      </c>
      <c r="S9" s="713">
        <v>44</v>
      </c>
      <c r="T9" s="719">
        <f t="shared" si="3"/>
        <v>5351</v>
      </c>
    </row>
    <row r="10" spans="1:20" s="42" customFormat="1" ht="24" customHeight="1" thickBot="1">
      <c r="A10" s="1838"/>
      <c r="B10" s="1140" t="s">
        <v>101</v>
      </c>
      <c r="C10" s="1220">
        <v>2</v>
      </c>
      <c r="D10" s="1221">
        <v>4</v>
      </c>
      <c r="E10" s="1222">
        <v>19</v>
      </c>
      <c r="F10" s="1222">
        <v>19</v>
      </c>
      <c r="G10" s="1222">
        <f>SUM(E10:F10)</f>
        <v>38</v>
      </c>
      <c r="H10" s="1221">
        <v>176</v>
      </c>
      <c r="I10" s="1221">
        <v>0</v>
      </c>
      <c r="J10" s="1223">
        <f t="shared" si="2"/>
        <v>176</v>
      </c>
      <c r="K10" s="1838"/>
      <c r="L10" s="1140" t="s">
        <v>101</v>
      </c>
      <c r="M10" s="1220">
        <v>2</v>
      </c>
      <c r="N10" s="1221">
        <v>4</v>
      </c>
      <c r="O10" s="1222">
        <v>50</v>
      </c>
      <c r="P10" s="1222">
        <v>50</v>
      </c>
      <c r="Q10" s="1222">
        <f>SUM(O10:P10)</f>
        <v>100</v>
      </c>
      <c r="R10" s="1221">
        <v>249</v>
      </c>
      <c r="S10" s="1221">
        <v>0</v>
      </c>
      <c r="T10" s="1223">
        <f t="shared" si="3"/>
        <v>249</v>
      </c>
    </row>
    <row r="11" spans="1:20" s="42" customFormat="1" ht="24" customHeight="1" thickBot="1" thickTop="1">
      <c r="A11" s="1839"/>
      <c r="B11" s="206" t="s">
        <v>196</v>
      </c>
      <c r="C11" s="720">
        <f aca="true" t="shared" si="4" ref="C11:I11">SUM(C6:C10)</f>
        <v>2360</v>
      </c>
      <c r="D11" s="721">
        <f t="shared" si="4"/>
        <v>4264</v>
      </c>
      <c r="E11" s="721">
        <f t="shared" si="4"/>
        <v>5808</v>
      </c>
      <c r="F11" s="721">
        <f t="shared" si="4"/>
        <v>15392</v>
      </c>
      <c r="G11" s="721">
        <f t="shared" si="4"/>
        <v>21200</v>
      </c>
      <c r="H11" s="721">
        <f t="shared" si="4"/>
        <v>9722</v>
      </c>
      <c r="I11" s="721">
        <f t="shared" si="4"/>
        <v>239</v>
      </c>
      <c r="J11" s="711">
        <f t="shared" si="2"/>
        <v>9961</v>
      </c>
      <c r="K11" s="1839"/>
      <c r="L11" s="206" t="s">
        <v>196</v>
      </c>
      <c r="M11" s="720">
        <f aca="true" t="shared" si="5" ref="M11:S11">SUM(M6:M10)</f>
        <v>2377</v>
      </c>
      <c r="N11" s="721">
        <f t="shared" si="5"/>
        <v>4336</v>
      </c>
      <c r="O11" s="721">
        <f t="shared" si="5"/>
        <v>6237</v>
      </c>
      <c r="P11" s="721">
        <f t="shared" si="5"/>
        <v>15665</v>
      </c>
      <c r="Q11" s="721">
        <f>SUM(Q6:Q10)</f>
        <v>21902</v>
      </c>
      <c r="R11" s="721">
        <f t="shared" si="5"/>
        <v>10323</v>
      </c>
      <c r="S11" s="721">
        <f t="shared" si="5"/>
        <v>229</v>
      </c>
      <c r="T11" s="711">
        <f t="shared" si="3"/>
        <v>10552</v>
      </c>
    </row>
    <row r="12" spans="1:20" s="42" customFormat="1" ht="24" customHeight="1">
      <c r="A12" s="1837" t="s">
        <v>205</v>
      </c>
      <c r="B12" s="487" t="s">
        <v>103</v>
      </c>
      <c r="C12" s="712">
        <v>436</v>
      </c>
      <c r="D12" s="713">
        <v>1056</v>
      </c>
      <c r="E12" s="714">
        <v>2264</v>
      </c>
      <c r="F12" s="714">
        <v>2677</v>
      </c>
      <c r="G12" s="714">
        <f aca="true" t="shared" si="6" ref="G12:G17">SUM(E12:F12)</f>
        <v>4941</v>
      </c>
      <c r="H12" s="713">
        <v>1800</v>
      </c>
      <c r="I12" s="713">
        <v>373</v>
      </c>
      <c r="J12" s="715">
        <f t="shared" si="2"/>
        <v>2173</v>
      </c>
      <c r="K12" s="1837" t="s">
        <v>205</v>
      </c>
      <c r="L12" s="487" t="s">
        <v>103</v>
      </c>
      <c r="M12" s="712">
        <v>261</v>
      </c>
      <c r="N12" s="713">
        <v>564</v>
      </c>
      <c r="O12" s="714">
        <v>2044</v>
      </c>
      <c r="P12" s="714">
        <v>2082</v>
      </c>
      <c r="Q12" s="714">
        <f aca="true" t="shared" si="7" ref="Q12:Q17">SUM(O12:P12)</f>
        <v>4126</v>
      </c>
      <c r="R12" s="713">
        <v>1630</v>
      </c>
      <c r="S12" s="713">
        <v>352</v>
      </c>
      <c r="T12" s="715">
        <f t="shared" si="3"/>
        <v>1982</v>
      </c>
    </row>
    <row r="13" spans="1:20" s="42" customFormat="1" ht="24" customHeight="1">
      <c r="A13" s="1838"/>
      <c r="B13" s="190" t="s">
        <v>104</v>
      </c>
      <c r="C13" s="716">
        <v>31</v>
      </c>
      <c r="D13" s="717">
        <v>87</v>
      </c>
      <c r="E13" s="718">
        <v>326</v>
      </c>
      <c r="F13" s="718">
        <v>262</v>
      </c>
      <c r="G13" s="714">
        <f t="shared" si="6"/>
        <v>588</v>
      </c>
      <c r="H13" s="713">
        <v>387</v>
      </c>
      <c r="I13" s="713">
        <v>0</v>
      </c>
      <c r="J13" s="719">
        <f t="shared" si="2"/>
        <v>387</v>
      </c>
      <c r="K13" s="1838"/>
      <c r="L13" s="190" t="s">
        <v>104</v>
      </c>
      <c r="M13" s="716">
        <v>22</v>
      </c>
      <c r="N13" s="717">
        <v>61</v>
      </c>
      <c r="O13" s="718">
        <v>330</v>
      </c>
      <c r="P13" s="718">
        <v>280</v>
      </c>
      <c r="Q13" s="714">
        <f t="shared" si="7"/>
        <v>610</v>
      </c>
      <c r="R13" s="713">
        <v>299</v>
      </c>
      <c r="S13" s="713">
        <v>0</v>
      </c>
      <c r="T13" s="719">
        <f t="shared" si="3"/>
        <v>299</v>
      </c>
    </row>
    <row r="14" spans="1:20" s="42" customFormat="1" ht="24" customHeight="1">
      <c r="A14" s="1838"/>
      <c r="B14" s="190" t="s">
        <v>105</v>
      </c>
      <c r="C14" s="716">
        <v>6</v>
      </c>
      <c r="D14" s="717">
        <v>46</v>
      </c>
      <c r="E14" s="718">
        <v>149</v>
      </c>
      <c r="F14" s="718">
        <v>407</v>
      </c>
      <c r="G14" s="714">
        <f t="shared" si="6"/>
        <v>556</v>
      </c>
      <c r="H14" s="713">
        <v>933</v>
      </c>
      <c r="I14" s="713"/>
      <c r="J14" s="719">
        <f t="shared" si="2"/>
        <v>933</v>
      </c>
      <c r="K14" s="1838"/>
      <c r="L14" s="190" t="s">
        <v>105</v>
      </c>
      <c r="M14" s="716">
        <v>6</v>
      </c>
      <c r="N14" s="717">
        <v>48</v>
      </c>
      <c r="O14" s="718">
        <v>187</v>
      </c>
      <c r="P14" s="718">
        <v>428</v>
      </c>
      <c r="Q14" s="714">
        <f t="shared" si="7"/>
        <v>615</v>
      </c>
      <c r="R14" s="713">
        <v>956</v>
      </c>
      <c r="S14" s="713"/>
      <c r="T14" s="719">
        <f t="shared" si="3"/>
        <v>956</v>
      </c>
    </row>
    <row r="15" spans="1:20" s="42" customFormat="1" ht="24" customHeight="1">
      <c r="A15" s="1838"/>
      <c r="B15" s="190" t="s">
        <v>42</v>
      </c>
      <c r="C15" s="716">
        <v>31</v>
      </c>
      <c r="D15" s="717">
        <v>9</v>
      </c>
      <c r="E15" s="718">
        <v>135</v>
      </c>
      <c r="F15" s="718">
        <v>156</v>
      </c>
      <c r="G15" s="714">
        <f t="shared" si="6"/>
        <v>291</v>
      </c>
      <c r="H15" s="713">
        <v>891</v>
      </c>
      <c r="I15" s="713">
        <v>0</v>
      </c>
      <c r="J15" s="719">
        <f t="shared" si="2"/>
        <v>891</v>
      </c>
      <c r="K15" s="1838"/>
      <c r="L15" s="190" t="s">
        <v>42</v>
      </c>
      <c r="M15" s="716">
        <v>37</v>
      </c>
      <c r="N15" s="717">
        <v>14</v>
      </c>
      <c r="O15" s="718">
        <v>195</v>
      </c>
      <c r="P15" s="718">
        <v>335</v>
      </c>
      <c r="Q15" s="714">
        <f t="shared" si="7"/>
        <v>530</v>
      </c>
      <c r="R15" s="713">
        <v>1510</v>
      </c>
      <c r="S15" s="713">
        <v>0</v>
      </c>
      <c r="T15" s="719">
        <f t="shared" si="3"/>
        <v>1510</v>
      </c>
    </row>
    <row r="16" spans="1:20" s="42" customFormat="1" ht="24" customHeight="1">
      <c r="A16" s="1838"/>
      <c r="B16" s="190" t="s">
        <v>108</v>
      </c>
      <c r="C16" s="716">
        <v>7</v>
      </c>
      <c r="D16" s="717">
        <v>19</v>
      </c>
      <c r="E16" s="718">
        <v>48</v>
      </c>
      <c r="F16" s="718">
        <v>36</v>
      </c>
      <c r="G16" s="714">
        <f t="shared" si="6"/>
        <v>84</v>
      </c>
      <c r="H16" s="713">
        <v>223</v>
      </c>
      <c r="I16" s="713"/>
      <c r="J16" s="719">
        <f t="shared" si="2"/>
        <v>223</v>
      </c>
      <c r="K16" s="1838"/>
      <c r="L16" s="190" t="s">
        <v>108</v>
      </c>
      <c r="M16" s="716">
        <v>4</v>
      </c>
      <c r="N16" s="717">
        <v>8</v>
      </c>
      <c r="O16" s="718">
        <v>4</v>
      </c>
      <c r="P16" s="718">
        <v>51</v>
      </c>
      <c r="Q16" s="714">
        <f t="shared" si="7"/>
        <v>55</v>
      </c>
      <c r="R16" s="713">
        <v>44</v>
      </c>
      <c r="S16" s="713"/>
      <c r="T16" s="719">
        <f t="shared" si="3"/>
        <v>44</v>
      </c>
    </row>
    <row r="17" spans="1:20" s="42" customFormat="1" ht="24" customHeight="1" thickBot="1">
      <c r="A17" s="1838"/>
      <c r="B17" s="1140" t="s">
        <v>109</v>
      </c>
      <c r="C17" s="1220">
        <v>37</v>
      </c>
      <c r="D17" s="1221">
        <v>62</v>
      </c>
      <c r="E17" s="1222">
        <v>184</v>
      </c>
      <c r="F17" s="1222">
        <v>164</v>
      </c>
      <c r="G17" s="1222">
        <f t="shared" si="6"/>
        <v>348</v>
      </c>
      <c r="H17" s="1221">
        <v>408</v>
      </c>
      <c r="I17" s="1221">
        <v>0</v>
      </c>
      <c r="J17" s="1223">
        <f t="shared" si="2"/>
        <v>408</v>
      </c>
      <c r="K17" s="1838"/>
      <c r="L17" s="1140" t="s">
        <v>109</v>
      </c>
      <c r="M17" s="1220">
        <v>38</v>
      </c>
      <c r="N17" s="1221">
        <v>61</v>
      </c>
      <c r="O17" s="1222">
        <v>302</v>
      </c>
      <c r="P17" s="1222">
        <v>379</v>
      </c>
      <c r="Q17" s="1222">
        <f t="shared" si="7"/>
        <v>681</v>
      </c>
      <c r="R17" s="1221">
        <v>454</v>
      </c>
      <c r="S17" s="1221">
        <v>0</v>
      </c>
      <c r="T17" s="1223">
        <f t="shared" si="3"/>
        <v>454</v>
      </c>
    </row>
    <row r="18" spans="1:20" s="42" customFormat="1" ht="24" customHeight="1" thickBot="1" thickTop="1">
      <c r="A18" s="1839"/>
      <c r="B18" s="206" t="s">
        <v>196</v>
      </c>
      <c r="C18" s="720">
        <f aca="true" t="shared" si="8" ref="C18:I18">SUM(C12:C17)</f>
        <v>548</v>
      </c>
      <c r="D18" s="721">
        <f t="shared" si="8"/>
        <v>1279</v>
      </c>
      <c r="E18" s="721">
        <f t="shared" si="8"/>
        <v>3106</v>
      </c>
      <c r="F18" s="721">
        <f t="shared" si="8"/>
        <v>3702</v>
      </c>
      <c r="G18" s="721">
        <f t="shared" si="8"/>
        <v>6808</v>
      </c>
      <c r="H18" s="721">
        <f t="shared" si="8"/>
        <v>4642</v>
      </c>
      <c r="I18" s="721">
        <f t="shared" si="8"/>
        <v>373</v>
      </c>
      <c r="J18" s="711">
        <f t="shared" si="2"/>
        <v>5015</v>
      </c>
      <c r="K18" s="1839"/>
      <c r="L18" s="206" t="s">
        <v>196</v>
      </c>
      <c r="M18" s="720">
        <f aca="true" t="shared" si="9" ref="M18:S18">SUM(M12:M17)</f>
        <v>368</v>
      </c>
      <c r="N18" s="721">
        <f t="shared" si="9"/>
        <v>756</v>
      </c>
      <c r="O18" s="721">
        <f t="shared" si="9"/>
        <v>3062</v>
      </c>
      <c r="P18" s="721">
        <f t="shared" si="9"/>
        <v>3555</v>
      </c>
      <c r="Q18" s="721">
        <f t="shared" si="9"/>
        <v>6617</v>
      </c>
      <c r="R18" s="721">
        <f t="shared" si="9"/>
        <v>4893</v>
      </c>
      <c r="S18" s="721">
        <f t="shared" si="9"/>
        <v>352</v>
      </c>
      <c r="T18" s="711">
        <f t="shared" si="3"/>
        <v>5245</v>
      </c>
    </row>
    <row r="19" spans="1:20" s="42" customFormat="1" ht="24" customHeight="1">
      <c r="A19" s="1837" t="s">
        <v>206</v>
      </c>
      <c r="B19" s="519" t="s">
        <v>111</v>
      </c>
      <c r="C19" s="712">
        <v>56</v>
      </c>
      <c r="D19" s="713">
        <v>224</v>
      </c>
      <c r="E19" s="714">
        <v>280</v>
      </c>
      <c r="F19" s="714">
        <v>826</v>
      </c>
      <c r="G19" s="714">
        <f aca="true" t="shared" si="10" ref="G19:G27">SUM(E19:F19)</f>
        <v>1106</v>
      </c>
      <c r="H19" s="713">
        <v>700</v>
      </c>
      <c r="I19" s="713">
        <v>0</v>
      </c>
      <c r="J19" s="715">
        <f t="shared" si="2"/>
        <v>700</v>
      </c>
      <c r="K19" s="1837" t="s">
        <v>206</v>
      </c>
      <c r="L19" s="519" t="s">
        <v>111</v>
      </c>
      <c r="M19" s="712">
        <v>82</v>
      </c>
      <c r="N19" s="713">
        <v>313</v>
      </c>
      <c r="O19" s="714">
        <v>703</v>
      </c>
      <c r="P19" s="714">
        <v>1276</v>
      </c>
      <c r="Q19" s="714">
        <f aca="true" t="shared" si="11" ref="Q19:Q27">SUM(O19:P19)</f>
        <v>1979</v>
      </c>
      <c r="R19" s="713">
        <v>950</v>
      </c>
      <c r="S19" s="713"/>
      <c r="T19" s="715">
        <f t="shared" si="3"/>
        <v>950</v>
      </c>
    </row>
    <row r="20" spans="1:20" s="42" customFormat="1" ht="24" customHeight="1">
      <c r="A20" s="1838"/>
      <c r="B20" s="190" t="s">
        <v>112</v>
      </c>
      <c r="C20" s="716">
        <v>227</v>
      </c>
      <c r="D20" s="717">
        <v>586</v>
      </c>
      <c r="E20" s="718">
        <v>1507</v>
      </c>
      <c r="F20" s="718">
        <v>2516</v>
      </c>
      <c r="G20" s="714">
        <f>SUM(E20:F20)</f>
        <v>4023</v>
      </c>
      <c r="H20" s="713">
        <v>1241</v>
      </c>
      <c r="I20" s="713">
        <v>145</v>
      </c>
      <c r="J20" s="719">
        <f t="shared" si="2"/>
        <v>1386</v>
      </c>
      <c r="K20" s="1838"/>
      <c r="L20" s="190" t="s">
        <v>112</v>
      </c>
      <c r="M20" s="716">
        <v>250</v>
      </c>
      <c r="N20" s="717">
        <v>721</v>
      </c>
      <c r="O20" s="718">
        <v>1805</v>
      </c>
      <c r="P20" s="718">
        <v>3020</v>
      </c>
      <c r="Q20" s="714">
        <f t="shared" si="11"/>
        <v>4825</v>
      </c>
      <c r="R20" s="713">
        <v>1727</v>
      </c>
      <c r="S20" s="713">
        <v>520</v>
      </c>
      <c r="T20" s="719">
        <f t="shared" si="3"/>
        <v>2247</v>
      </c>
    </row>
    <row r="21" spans="1:20" s="42" customFormat="1" ht="24" customHeight="1">
      <c r="A21" s="1838"/>
      <c r="B21" s="190" t="s">
        <v>113</v>
      </c>
      <c r="C21" s="716">
        <v>130</v>
      </c>
      <c r="D21" s="717">
        <v>322</v>
      </c>
      <c r="E21" s="718">
        <v>1192</v>
      </c>
      <c r="F21" s="718">
        <v>1311</v>
      </c>
      <c r="G21" s="714">
        <f t="shared" si="10"/>
        <v>2503</v>
      </c>
      <c r="H21" s="713">
        <v>298</v>
      </c>
      <c r="I21" s="713">
        <v>261</v>
      </c>
      <c r="J21" s="719">
        <f t="shared" si="2"/>
        <v>559</v>
      </c>
      <c r="K21" s="1838"/>
      <c r="L21" s="190" t="s">
        <v>113</v>
      </c>
      <c r="M21" s="716">
        <v>142</v>
      </c>
      <c r="N21" s="717">
        <v>417</v>
      </c>
      <c r="O21" s="718">
        <v>1234</v>
      </c>
      <c r="P21" s="718">
        <v>1641</v>
      </c>
      <c r="Q21" s="714">
        <f t="shared" si="11"/>
        <v>2875</v>
      </c>
      <c r="R21" s="713">
        <v>303</v>
      </c>
      <c r="S21" s="713">
        <v>158</v>
      </c>
      <c r="T21" s="719">
        <f t="shared" si="3"/>
        <v>461</v>
      </c>
    </row>
    <row r="22" spans="1:20" s="42" customFormat="1" ht="24" customHeight="1">
      <c r="A22" s="1838"/>
      <c r="B22" s="190" t="s">
        <v>115</v>
      </c>
      <c r="C22" s="716">
        <v>4</v>
      </c>
      <c r="D22" s="717">
        <v>9</v>
      </c>
      <c r="E22" s="718">
        <v>8</v>
      </c>
      <c r="F22" s="718">
        <v>7</v>
      </c>
      <c r="G22" s="714">
        <f t="shared" si="10"/>
        <v>15</v>
      </c>
      <c r="H22" s="713">
        <v>10</v>
      </c>
      <c r="I22" s="713">
        <v>0</v>
      </c>
      <c r="J22" s="719">
        <f t="shared" si="2"/>
        <v>10</v>
      </c>
      <c r="K22" s="1838"/>
      <c r="L22" s="190" t="s">
        <v>115</v>
      </c>
      <c r="M22" s="716">
        <v>10</v>
      </c>
      <c r="N22" s="717">
        <v>23</v>
      </c>
      <c r="O22" s="718">
        <v>18</v>
      </c>
      <c r="P22" s="718">
        <v>24</v>
      </c>
      <c r="Q22" s="714">
        <f t="shared" si="11"/>
        <v>42</v>
      </c>
      <c r="R22" s="713">
        <v>121</v>
      </c>
      <c r="S22" s="713">
        <v>0</v>
      </c>
      <c r="T22" s="719">
        <f t="shared" si="3"/>
        <v>121</v>
      </c>
    </row>
    <row r="23" spans="1:20" s="42" customFormat="1" ht="24" customHeight="1">
      <c r="A23" s="1838"/>
      <c r="B23" s="515" t="s">
        <v>116</v>
      </c>
      <c r="C23" s="716">
        <v>103</v>
      </c>
      <c r="D23" s="717">
        <v>212</v>
      </c>
      <c r="E23" s="718">
        <v>199</v>
      </c>
      <c r="F23" s="718">
        <v>116</v>
      </c>
      <c r="G23" s="718">
        <f t="shared" si="10"/>
        <v>315</v>
      </c>
      <c r="H23" s="717">
        <v>145</v>
      </c>
      <c r="I23" s="717">
        <v>99</v>
      </c>
      <c r="J23" s="719">
        <f t="shared" si="2"/>
        <v>244</v>
      </c>
      <c r="K23" s="1838"/>
      <c r="L23" s="515" t="s">
        <v>116</v>
      </c>
      <c r="M23" s="716">
        <v>92</v>
      </c>
      <c r="N23" s="717">
        <v>133</v>
      </c>
      <c r="O23" s="718">
        <v>215</v>
      </c>
      <c r="P23" s="718">
        <v>122</v>
      </c>
      <c r="Q23" s="718">
        <f t="shared" si="11"/>
        <v>337</v>
      </c>
      <c r="R23" s="717">
        <v>162</v>
      </c>
      <c r="S23" s="717">
        <v>115</v>
      </c>
      <c r="T23" s="719">
        <f t="shared" si="3"/>
        <v>277</v>
      </c>
    </row>
    <row r="24" spans="1:20" s="42" customFormat="1" ht="24" customHeight="1">
      <c r="A24" s="1838"/>
      <c r="B24" s="190" t="s">
        <v>117</v>
      </c>
      <c r="C24" s="712">
        <v>140</v>
      </c>
      <c r="D24" s="713">
        <v>273</v>
      </c>
      <c r="E24" s="714">
        <v>982</v>
      </c>
      <c r="F24" s="714">
        <v>1119</v>
      </c>
      <c r="G24" s="714">
        <f t="shared" si="10"/>
        <v>2101</v>
      </c>
      <c r="H24" s="713">
        <v>231</v>
      </c>
      <c r="I24" s="713">
        <v>0</v>
      </c>
      <c r="J24" s="719">
        <f t="shared" si="2"/>
        <v>231</v>
      </c>
      <c r="K24" s="1838"/>
      <c r="L24" s="190" t="s">
        <v>117</v>
      </c>
      <c r="M24" s="712">
        <v>156</v>
      </c>
      <c r="N24" s="713">
        <v>330</v>
      </c>
      <c r="O24" s="714">
        <v>2183</v>
      </c>
      <c r="P24" s="714">
        <v>1852</v>
      </c>
      <c r="Q24" s="714">
        <f t="shared" si="11"/>
        <v>4035</v>
      </c>
      <c r="R24" s="713">
        <v>340</v>
      </c>
      <c r="S24" s="713">
        <v>0</v>
      </c>
      <c r="T24" s="719">
        <f t="shared" si="3"/>
        <v>340</v>
      </c>
    </row>
    <row r="25" spans="1:20" s="42" customFormat="1" ht="24" customHeight="1">
      <c r="A25" s="1838"/>
      <c r="B25" s="190" t="s">
        <v>54</v>
      </c>
      <c r="C25" s="716">
        <v>2</v>
      </c>
      <c r="D25" s="717">
        <v>6</v>
      </c>
      <c r="E25" s="718">
        <v>44</v>
      </c>
      <c r="F25" s="718">
        <v>11</v>
      </c>
      <c r="G25" s="714">
        <f t="shared" si="10"/>
        <v>55</v>
      </c>
      <c r="H25" s="713">
        <v>0</v>
      </c>
      <c r="I25" s="713">
        <v>6</v>
      </c>
      <c r="J25" s="719">
        <f t="shared" si="2"/>
        <v>6</v>
      </c>
      <c r="K25" s="1838"/>
      <c r="L25" s="190" t="s">
        <v>54</v>
      </c>
      <c r="M25" s="716">
        <v>2</v>
      </c>
      <c r="N25" s="717">
        <v>6</v>
      </c>
      <c r="O25" s="718">
        <v>60</v>
      </c>
      <c r="P25" s="718">
        <v>30</v>
      </c>
      <c r="Q25" s="714">
        <f t="shared" si="11"/>
        <v>90</v>
      </c>
      <c r="R25" s="713">
        <v>0</v>
      </c>
      <c r="S25" s="713">
        <v>6</v>
      </c>
      <c r="T25" s="719">
        <f t="shared" si="3"/>
        <v>6</v>
      </c>
    </row>
    <row r="26" spans="1:20" s="42" customFormat="1" ht="24" customHeight="1">
      <c r="A26" s="1838"/>
      <c r="B26" s="190" t="s">
        <v>118</v>
      </c>
      <c r="C26" s="716">
        <v>104</v>
      </c>
      <c r="D26" s="717">
        <v>226</v>
      </c>
      <c r="E26" s="718">
        <v>318</v>
      </c>
      <c r="F26" s="718">
        <v>401</v>
      </c>
      <c r="G26" s="714">
        <f t="shared" si="10"/>
        <v>719</v>
      </c>
      <c r="H26" s="713">
        <v>63</v>
      </c>
      <c r="I26" s="713">
        <v>806</v>
      </c>
      <c r="J26" s="719">
        <f t="shared" si="2"/>
        <v>869</v>
      </c>
      <c r="K26" s="1838"/>
      <c r="L26" s="190" t="s">
        <v>118</v>
      </c>
      <c r="M26" s="716">
        <v>135</v>
      </c>
      <c r="N26" s="717">
        <v>315</v>
      </c>
      <c r="O26" s="718">
        <v>344</v>
      </c>
      <c r="P26" s="718">
        <v>518</v>
      </c>
      <c r="Q26" s="714">
        <f t="shared" si="11"/>
        <v>862</v>
      </c>
      <c r="R26" s="713">
        <v>68</v>
      </c>
      <c r="S26" s="713">
        <v>811</v>
      </c>
      <c r="T26" s="719">
        <f t="shared" si="3"/>
        <v>879</v>
      </c>
    </row>
    <row r="27" spans="1:20" s="42" customFormat="1" ht="24" customHeight="1" thickBot="1">
      <c r="A27" s="1838"/>
      <c r="B27" s="1140" t="s">
        <v>120</v>
      </c>
      <c r="C27" s="1220">
        <v>180</v>
      </c>
      <c r="D27" s="1221">
        <v>337</v>
      </c>
      <c r="E27" s="1222">
        <v>430</v>
      </c>
      <c r="F27" s="1222">
        <v>1267</v>
      </c>
      <c r="G27" s="1222">
        <f t="shared" si="10"/>
        <v>1697</v>
      </c>
      <c r="H27" s="1221">
        <v>952</v>
      </c>
      <c r="I27" s="1221">
        <v>0</v>
      </c>
      <c r="J27" s="1223">
        <f t="shared" si="2"/>
        <v>952</v>
      </c>
      <c r="K27" s="1838"/>
      <c r="L27" s="1140" t="s">
        <v>120</v>
      </c>
      <c r="M27" s="1220">
        <v>187</v>
      </c>
      <c r="N27" s="1221">
        <v>352</v>
      </c>
      <c r="O27" s="1222">
        <v>488</v>
      </c>
      <c r="P27" s="1222">
        <v>1714</v>
      </c>
      <c r="Q27" s="1222">
        <f t="shared" si="11"/>
        <v>2202</v>
      </c>
      <c r="R27" s="1221">
        <v>939</v>
      </c>
      <c r="S27" s="1221">
        <v>0</v>
      </c>
      <c r="T27" s="1223">
        <f t="shared" si="3"/>
        <v>939</v>
      </c>
    </row>
    <row r="28" spans="1:20" s="42" customFormat="1" ht="24" customHeight="1" thickBot="1" thickTop="1">
      <c r="A28" s="1839"/>
      <c r="B28" s="206" t="s">
        <v>196</v>
      </c>
      <c r="C28" s="720">
        <f aca="true" t="shared" si="12" ref="C28:I28">SUM(C19:C27)</f>
        <v>946</v>
      </c>
      <c r="D28" s="721">
        <f t="shared" si="12"/>
        <v>2195</v>
      </c>
      <c r="E28" s="721">
        <f t="shared" si="12"/>
        <v>4960</v>
      </c>
      <c r="F28" s="721">
        <f t="shared" si="12"/>
        <v>7574</v>
      </c>
      <c r="G28" s="721">
        <f t="shared" si="12"/>
        <v>12534</v>
      </c>
      <c r="H28" s="721">
        <f t="shared" si="12"/>
        <v>3640</v>
      </c>
      <c r="I28" s="721">
        <f t="shared" si="12"/>
        <v>1317</v>
      </c>
      <c r="J28" s="711">
        <f t="shared" si="2"/>
        <v>4957</v>
      </c>
      <c r="K28" s="1839"/>
      <c r="L28" s="206" t="s">
        <v>196</v>
      </c>
      <c r="M28" s="720">
        <f>SUM(M19:M27)</f>
        <v>1056</v>
      </c>
      <c r="N28" s="721">
        <f aca="true" t="shared" si="13" ref="N28:S28">SUM(N19:N27)</f>
        <v>2610</v>
      </c>
      <c r="O28" s="721">
        <f t="shared" si="13"/>
        <v>7050</v>
      </c>
      <c r="P28" s="721">
        <f t="shared" si="13"/>
        <v>10197</v>
      </c>
      <c r="Q28" s="721">
        <f t="shared" si="13"/>
        <v>17247</v>
      </c>
      <c r="R28" s="721">
        <f t="shared" si="13"/>
        <v>4610</v>
      </c>
      <c r="S28" s="721">
        <f t="shared" si="13"/>
        <v>1610</v>
      </c>
      <c r="T28" s="711">
        <f t="shared" si="3"/>
        <v>6220</v>
      </c>
    </row>
  </sheetData>
  <sheetProtection/>
  <mergeCells count="20">
    <mergeCell ref="A1:B4"/>
    <mergeCell ref="C1:J1"/>
    <mergeCell ref="K1:L4"/>
    <mergeCell ref="M1:T1"/>
    <mergeCell ref="C2:J2"/>
    <mergeCell ref="M2:T2"/>
    <mergeCell ref="C3:C4"/>
    <mergeCell ref="E3:G3"/>
    <mergeCell ref="H3:J3"/>
    <mergeCell ref="M3:M4"/>
    <mergeCell ref="A12:A18"/>
    <mergeCell ref="K12:K18"/>
    <mergeCell ref="A19:A28"/>
    <mergeCell ref="K19:K28"/>
    <mergeCell ref="O3:Q3"/>
    <mergeCell ref="R3:T3"/>
    <mergeCell ref="A5:B5"/>
    <mergeCell ref="K5:L5"/>
    <mergeCell ref="A6:A11"/>
    <mergeCell ref="K6:K11"/>
  </mergeCells>
  <printOptions/>
  <pageMargins left="0.7086614173228347" right="0.1968503937007874" top="0.8661417322834646" bottom="0.1968503937007874" header="0.5511811023622047" footer="0.3937007874015748"/>
  <pageSetup firstPageNumber="21" useFirstPageNumber="1" horizontalDpi="600" verticalDpi="600" orientation="portrait" paperSize="9" scale="105" r:id="rId1"/>
  <headerFooter scaleWithDoc="0" alignWithMargins="0">
    <oddHeader>&amp;L&amp;"ＭＳ Ｐゴシック,太字"10　成人を対象とした学級・講座開設状況</oddHeader>
    <oddFooter>&amp;C&amp;12&amp;P</oddFoot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94" zoomScaleNormal="70" zoomScaleSheetLayoutView="94" zoomScalePageLayoutView="0" workbookViewId="0" topLeftCell="C3">
      <pane xSplit="3" ySplit="4" topLeftCell="F7" activePane="bottomRight" state="frozen"/>
      <selection pane="topLeft" activeCell="N6" sqref="N6"/>
      <selection pane="topRight" activeCell="N6" sqref="N6"/>
      <selection pane="bottomLeft" activeCell="N6" sqref="N6"/>
      <selection pane="bottomRight" activeCell="N6" sqref="N6"/>
    </sheetView>
  </sheetViews>
  <sheetFormatPr defaultColWidth="9.00390625" defaultRowHeight="12.75" customHeight="1"/>
  <cols>
    <col min="1" max="1" width="4.125" style="1" hidden="1" customWidth="1"/>
    <col min="2" max="2" width="1.625" style="1" hidden="1" customWidth="1"/>
    <col min="3" max="3" width="5.375" style="1" customWidth="1"/>
    <col min="4" max="4" width="4.125" style="1" customWidth="1"/>
    <col min="5" max="5" width="10.00390625" style="1" customWidth="1"/>
    <col min="6" max="7" width="7.125" style="1" customWidth="1"/>
    <col min="8" max="8" width="8.75390625" style="1" customWidth="1"/>
    <col min="9" max="9" width="8.25390625" style="1" customWidth="1"/>
    <col min="10" max="10" width="8.625" style="1" customWidth="1"/>
    <col min="11" max="14" width="9.00390625" style="14" customWidth="1"/>
    <col min="15" max="16" width="7.125" style="1" customWidth="1"/>
    <col min="17" max="17" width="8.375" style="1" customWidth="1"/>
    <col min="18" max="18" width="8.75390625" style="1" customWidth="1"/>
    <col min="19" max="19" width="8.625" style="15" customWidth="1"/>
    <col min="20" max="22" width="9.00390625" style="15" customWidth="1"/>
    <col min="23" max="23" width="9.00390625" style="1" customWidth="1"/>
    <col min="24" max="24" width="0.875" style="1" customWidth="1"/>
    <col min="25" max="16384" width="9.00390625" style="1" customWidth="1"/>
  </cols>
  <sheetData>
    <row r="1" spans="2:24" ht="15.75" customHeight="1" hidden="1" thickBot="1">
      <c r="B1" s="2"/>
      <c r="C1" s="143" t="s">
        <v>482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8.25" customHeight="1" hidden="1" thickBot="1">
      <c r="B2" s="2"/>
      <c r="C2" s="144"/>
      <c r="D2" s="145"/>
      <c r="E2" s="145"/>
      <c r="F2" s="145"/>
      <c r="G2" s="145"/>
      <c r="H2" s="145"/>
      <c r="I2" s="145"/>
      <c r="J2" s="145"/>
      <c r="K2" s="146"/>
      <c r="L2" s="146"/>
      <c r="M2" s="146"/>
      <c r="N2" s="146"/>
      <c r="O2" s="12"/>
      <c r="P2" s="12"/>
      <c r="Q2" s="4"/>
      <c r="R2" s="4"/>
      <c r="S2" s="13"/>
      <c r="T2" s="13"/>
      <c r="U2" s="13"/>
      <c r="V2" s="13"/>
      <c r="W2" s="4"/>
      <c r="X2" s="2"/>
    </row>
    <row r="3" spans="2:24" ht="24.75" customHeight="1">
      <c r="B3" s="2"/>
      <c r="C3" s="1881" t="s">
        <v>483</v>
      </c>
      <c r="D3" s="1882"/>
      <c r="E3" s="1883"/>
      <c r="F3" s="1864" t="s">
        <v>938</v>
      </c>
      <c r="G3" s="1865"/>
      <c r="H3" s="1865"/>
      <c r="I3" s="1865"/>
      <c r="J3" s="1865"/>
      <c r="K3" s="1865"/>
      <c r="L3" s="1865"/>
      <c r="M3" s="1865"/>
      <c r="N3" s="1866"/>
      <c r="O3" s="1864" t="s">
        <v>932</v>
      </c>
      <c r="P3" s="1865"/>
      <c r="Q3" s="1865"/>
      <c r="R3" s="1865"/>
      <c r="S3" s="1865"/>
      <c r="T3" s="1865"/>
      <c r="U3" s="1865"/>
      <c r="V3" s="1865"/>
      <c r="W3" s="1866"/>
      <c r="X3" s="2"/>
    </row>
    <row r="4" spans="2:25" ht="24.75" customHeight="1">
      <c r="B4" s="2"/>
      <c r="C4" s="1884"/>
      <c r="D4" s="1885"/>
      <c r="E4" s="1886"/>
      <c r="F4" s="1867" t="s">
        <v>190</v>
      </c>
      <c r="G4" s="1867" t="s">
        <v>484</v>
      </c>
      <c r="H4" s="1870" t="s">
        <v>762</v>
      </c>
      <c r="I4" s="1870"/>
      <c r="J4" s="1870"/>
      <c r="K4" s="1892" t="s">
        <v>78</v>
      </c>
      <c r="L4" s="1893"/>
      <c r="M4" s="1893"/>
      <c r="N4" s="1894"/>
      <c r="O4" s="1871" t="s">
        <v>190</v>
      </c>
      <c r="P4" s="1867" t="s">
        <v>484</v>
      </c>
      <c r="Q4" s="1872" t="s">
        <v>762</v>
      </c>
      <c r="R4" s="1873"/>
      <c r="S4" s="1874"/>
      <c r="T4" s="1872" t="s">
        <v>78</v>
      </c>
      <c r="U4" s="1873"/>
      <c r="V4" s="1873"/>
      <c r="W4" s="1891"/>
      <c r="X4" s="4"/>
      <c r="Y4" s="5"/>
    </row>
    <row r="5" spans="2:25" ht="39" customHeight="1" thickBot="1">
      <c r="B5" s="2"/>
      <c r="C5" s="1887"/>
      <c r="D5" s="1888"/>
      <c r="E5" s="1889"/>
      <c r="F5" s="1868"/>
      <c r="G5" s="1869"/>
      <c r="H5" s="282" t="s">
        <v>192</v>
      </c>
      <c r="I5" s="282" t="s">
        <v>193</v>
      </c>
      <c r="J5" s="282" t="s">
        <v>96</v>
      </c>
      <c r="K5" s="933" t="s">
        <v>940</v>
      </c>
      <c r="L5" s="284" t="s">
        <v>90</v>
      </c>
      <c r="M5" s="284" t="s">
        <v>55</v>
      </c>
      <c r="N5" s="283" t="s">
        <v>96</v>
      </c>
      <c r="O5" s="1630"/>
      <c r="P5" s="1869"/>
      <c r="Q5" s="1061" t="s">
        <v>192</v>
      </c>
      <c r="R5" s="1061" t="s">
        <v>193</v>
      </c>
      <c r="S5" s="1061" t="s">
        <v>96</v>
      </c>
      <c r="T5" s="933" t="s">
        <v>940</v>
      </c>
      <c r="U5" s="285" t="s">
        <v>90</v>
      </c>
      <c r="V5" s="286" t="s">
        <v>55</v>
      </c>
      <c r="W5" s="287" t="s">
        <v>96</v>
      </c>
      <c r="X5" s="4"/>
      <c r="Y5" s="5"/>
    </row>
    <row r="6" spans="2:25" s="6" customFormat="1" ht="27" customHeight="1" thickBot="1">
      <c r="B6" s="7"/>
      <c r="C6" s="1875" t="s">
        <v>31</v>
      </c>
      <c r="D6" s="1876"/>
      <c r="E6" s="1877"/>
      <c r="F6" s="434">
        <f aca="true" t="shared" si="0" ref="F6:W6">F12+F19+F29</f>
        <v>1884</v>
      </c>
      <c r="G6" s="434">
        <f t="shared" si="0"/>
        <v>4476</v>
      </c>
      <c r="H6" s="434">
        <f t="shared" si="0"/>
        <v>13995</v>
      </c>
      <c r="I6" s="434">
        <f t="shared" si="0"/>
        <v>31670</v>
      </c>
      <c r="J6" s="434">
        <f t="shared" si="0"/>
        <v>48312</v>
      </c>
      <c r="K6" s="288">
        <f t="shared" si="0"/>
        <v>3500</v>
      </c>
      <c r="L6" s="434">
        <f t="shared" si="0"/>
        <v>10913</v>
      </c>
      <c r="M6" s="288">
        <f t="shared" si="0"/>
        <v>764</v>
      </c>
      <c r="N6" s="434">
        <f t="shared" si="0"/>
        <v>15177</v>
      </c>
      <c r="O6" s="434">
        <f t="shared" si="0"/>
        <v>1801</v>
      </c>
      <c r="P6" s="434">
        <f t="shared" si="0"/>
        <v>4294</v>
      </c>
      <c r="Q6" s="434">
        <f t="shared" si="0"/>
        <v>13861</v>
      </c>
      <c r="R6" s="434">
        <f t="shared" si="0"/>
        <v>27633</v>
      </c>
      <c r="S6" s="434">
        <f t="shared" si="0"/>
        <v>45494</v>
      </c>
      <c r="T6" s="288">
        <f t="shared" si="0"/>
        <v>3184</v>
      </c>
      <c r="U6" s="434">
        <f t="shared" si="0"/>
        <v>11360</v>
      </c>
      <c r="V6" s="288">
        <f t="shared" si="0"/>
        <v>778</v>
      </c>
      <c r="W6" s="435">
        <f t="shared" si="0"/>
        <v>15322</v>
      </c>
      <c r="X6" s="8"/>
      <c r="Y6" s="9"/>
    </row>
    <row r="7" spans="2:25" ht="27" customHeight="1">
      <c r="B7" s="2"/>
      <c r="C7" s="1878" t="s">
        <v>10</v>
      </c>
      <c r="D7" s="1369" t="s">
        <v>18</v>
      </c>
      <c r="E7" s="1370"/>
      <c r="F7" s="489">
        <v>53</v>
      </c>
      <c r="G7" s="489">
        <v>139</v>
      </c>
      <c r="H7" s="489">
        <v>378</v>
      </c>
      <c r="I7" s="489">
        <v>967</v>
      </c>
      <c r="J7" s="934" t="s">
        <v>941</v>
      </c>
      <c r="K7" s="489"/>
      <c r="L7" s="489">
        <v>388</v>
      </c>
      <c r="M7" s="489"/>
      <c r="N7" s="489">
        <f>SUM(K7:M7)</f>
        <v>388</v>
      </c>
      <c r="O7" s="595">
        <v>49</v>
      </c>
      <c r="P7" s="595">
        <v>135</v>
      </c>
      <c r="Q7" s="595">
        <v>324</v>
      </c>
      <c r="R7" s="596">
        <v>804</v>
      </c>
      <c r="S7" s="939" t="s">
        <v>943</v>
      </c>
      <c r="T7" s="596"/>
      <c r="U7" s="596">
        <v>343</v>
      </c>
      <c r="V7" s="596"/>
      <c r="W7" s="597">
        <f>SUM(T7:V7)</f>
        <v>343</v>
      </c>
      <c r="X7" s="4"/>
      <c r="Y7" s="5"/>
    </row>
    <row r="8" spans="2:25" ht="27" customHeight="1">
      <c r="B8" s="2"/>
      <c r="C8" s="1879"/>
      <c r="D8" s="1371" t="s">
        <v>19</v>
      </c>
      <c r="E8" s="1372"/>
      <c r="F8" s="489">
        <f>58+334</f>
        <v>392</v>
      </c>
      <c r="G8" s="489">
        <f>80+642</f>
        <v>722</v>
      </c>
      <c r="H8" s="489">
        <f>1979+2290</f>
        <v>4269</v>
      </c>
      <c r="I8" s="489">
        <f>3505+5802</f>
        <v>9307</v>
      </c>
      <c r="J8" s="489">
        <f>SUM(H8:I8)</f>
        <v>13576</v>
      </c>
      <c r="K8" s="550">
        <v>234</v>
      </c>
      <c r="L8" s="550">
        <f>120+1290</f>
        <v>1410</v>
      </c>
      <c r="M8" s="550"/>
      <c r="N8" s="550">
        <f>SUM(K8:M8)</f>
        <v>1644</v>
      </c>
      <c r="O8" s="489">
        <f>60+260</f>
        <v>320</v>
      </c>
      <c r="P8" s="489">
        <f>78+488</f>
        <v>566</v>
      </c>
      <c r="Q8" s="489">
        <f>1750+2500</f>
        <v>4250</v>
      </c>
      <c r="R8" s="548">
        <f>3100+3630</f>
        <v>6730</v>
      </c>
      <c r="S8" s="548">
        <f>SUM(Q8:R8)</f>
        <v>10980</v>
      </c>
      <c r="T8" s="548">
        <v>260</v>
      </c>
      <c r="U8" s="548">
        <f>130+1291</f>
        <v>1421</v>
      </c>
      <c r="V8" s="548"/>
      <c r="W8" s="549">
        <f>SUM(T8:V8)</f>
        <v>1681</v>
      </c>
      <c r="X8" s="4"/>
      <c r="Y8" s="5"/>
    </row>
    <row r="9" spans="2:25" ht="27" customHeight="1">
      <c r="B9" s="2"/>
      <c r="C9" s="1879"/>
      <c r="D9" s="1371" t="s">
        <v>39</v>
      </c>
      <c r="E9" s="1372"/>
      <c r="F9" s="489">
        <v>103</v>
      </c>
      <c r="G9" s="489">
        <v>196</v>
      </c>
      <c r="H9" s="489">
        <v>356</v>
      </c>
      <c r="I9" s="489">
        <v>617</v>
      </c>
      <c r="J9" s="489">
        <f>SUM(H9:I9)</f>
        <v>973</v>
      </c>
      <c r="K9" s="573"/>
      <c r="L9" s="573">
        <v>72</v>
      </c>
      <c r="M9" s="573">
        <v>40</v>
      </c>
      <c r="N9" s="573">
        <f>SUM(K9:M9)</f>
        <v>112</v>
      </c>
      <c r="O9" s="489">
        <v>105</v>
      </c>
      <c r="P9" s="489">
        <v>180</v>
      </c>
      <c r="Q9" s="489">
        <v>255</v>
      </c>
      <c r="R9" s="548">
        <v>980</v>
      </c>
      <c r="S9" s="548">
        <f>SUM(Q9:R9)</f>
        <v>1235</v>
      </c>
      <c r="T9" s="548"/>
      <c r="U9" s="548">
        <v>38</v>
      </c>
      <c r="V9" s="548">
        <v>40</v>
      </c>
      <c r="W9" s="549">
        <f>SUM(T9:V9)</f>
        <v>78</v>
      </c>
      <c r="X9" s="4"/>
      <c r="Y9" s="5"/>
    </row>
    <row r="10" spans="2:25" ht="27" customHeight="1">
      <c r="B10" s="2"/>
      <c r="C10" s="1879"/>
      <c r="D10" s="1386" t="s">
        <v>21</v>
      </c>
      <c r="E10" s="1387"/>
      <c r="F10" s="489">
        <v>294</v>
      </c>
      <c r="G10" s="489">
        <v>559</v>
      </c>
      <c r="H10" s="489">
        <v>753</v>
      </c>
      <c r="I10" s="489">
        <v>2039</v>
      </c>
      <c r="J10" s="489">
        <v>5439</v>
      </c>
      <c r="K10" s="550">
        <f>139+139</f>
        <v>278</v>
      </c>
      <c r="L10" s="550">
        <v>984</v>
      </c>
      <c r="M10" s="550">
        <v>77</v>
      </c>
      <c r="N10" s="573">
        <f>SUM(K10:M10)</f>
        <v>1339</v>
      </c>
      <c r="O10" s="489">
        <v>310</v>
      </c>
      <c r="P10" s="489">
        <v>580</v>
      </c>
      <c r="Q10" s="489">
        <v>651</v>
      </c>
      <c r="R10" s="548">
        <v>1848</v>
      </c>
      <c r="S10" s="548">
        <v>6499</v>
      </c>
      <c r="T10" s="548">
        <f>59+59</f>
        <v>118</v>
      </c>
      <c r="U10" s="548">
        <v>948</v>
      </c>
      <c r="V10" s="548">
        <v>80</v>
      </c>
      <c r="W10" s="549">
        <f>SUM(T10:V10)</f>
        <v>1146</v>
      </c>
      <c r="X10" s="4"/>
      <c r="Y10" s="5"/>
    </row>
    <row r="11" spans="2:28" ht="27" customHeight="1" thickBot="1">
      <c r="B11" s="2"/>
      <c r="C11" s="1879"/>
      <c r="D11" s="1389" t="s">
        <v>40</v>
      </c>
      <c r="E11" s="1390"/>
      <c r="F11" s="1160">
        <v>9</v>
      </c>
      <c r="G11" s="1160">
        <v>780</v>
      </c>
      <c r="H11" s="1160">
        <v>117</v>
      </c>
      <c r="I11" s="1160">
        <v>229</v>
      </c>
      <c r="J11" s="1228">
        <f>SUM(H11:I11)</f>
        <v>346</v>
      </c>
      <c r="K11" s="1160">
        <v>178</v>
      </c>
      <c r="L11" s="1160">
        <v>90</v>
      </c>
      <c r="M11" s="1160"/>
      <c r="N11" s="1228">
        <f>SUM(K11:M11)</f>
        <v>268</v>
      </c>
      <c r="O11" s="1160">
        <v>9</v>
      </c>
      <c r="P11" s="1160">
        <v>780</v>
      </c>
      <c r="Q11" s="1160">
        <v>47</v>
      </c>
      <c r="R11" s="1229">
        <v>135</v>
      </c>
      <c r="S11" s="1229">
        <f>SUM(Q11:R11)</f>
        <v>182</v>
      </c>
      <c r="T11" s="1229">
        <v>180</v>
      </c>
      <c r="U11" s="1229">
        <v>90</v>
      </c>
      <c r="V11" s="1229"/>
      <c r="W11" s="1020">
        <f>SUM(T11:V11)</f>
        <v>270</v>
      </c>
      <c r="X11" s="4"/>
      <c r="Y11" s="5"/>
      <c r="AB11" s="201"/>
    </row>
    <row r="12" spans="2:25" ht="27" customHeight="1" thickBot="1" thickTop="1">
      <c r="B12" s="2"/>
      <c r="C12" s="1880"/>
      <c r="D12" s="1862" t="s">
        <v>20</v>
      </c>
      <c r="E12" s="1863"/>
      <c r="F12" s="1225">
        <f aca="true" t="shared" si="1" ref="F12:W12">SUM(F7:F11)</f>
        <v>851</v>
      </c>
      <c r="G12" s="1225">
        <f t="shared" si="1"/>
        <v>2396</v>
      </c>
      <c r="H12" s="1225">
        <f t="shared" si="1"/>
        <v>5873</v>
      </c>
      <c r="I12" s="1225">
        <f t="shared" si="1"/>
        <v>13159</v>
      </c>
      <c r="J12" s="1225">
        <f>1345+J8+J9+J10+J11</f>
        <v>21679</v>
      </c>
      <c r="K12" s="1226">
        <f t="shared" si="1"/>
        <v>690</v>
      </c>
      <c r="L12" s="1225">
        <f t="shared" si="1"/>
        <v>2944</v>
      </c>
      <c r="M12" s="1226">
        <f t="shared" si="1"/>
        <v>117</v>
      </c>
      <c r="N12" s="1225">
        <f t="shared" si="1"/>
        <v>3751</v>
      </c>
      <c r="O12" s="1225">
        <f t="shared" si="1"/>
        <v>793</v>
      </c>
      <c r="P12" s="1225">
        <f t="shared" si="1"/>
        <v>2241</v>
      </c>
      <c r="Q12" s="1225">
        <f t="shared" si="1"/>
        <v>5527</v>
      </c>
      <c r="R12" s="1225">
        <f t="shared" si="1"/>
        <v>10497</v>
      </c>
      <c r="S12" s="1225">
        <f>1128+S8+S9+S10+S11</f>
        <v>20024</v>
      </c>
      <c r="T12" s="1226">
        <f t="shared" si="1"/>
        <v>558</v>
      </c>
      <c r="U12" s="1225">
        <f t="shared" si="1"/>
        <v>2840</v>
      </c>
      <c r="V12" s="1226">
        <f t="shared" si="1"/>
        <v>120</v>
      </c>
      <c r="W12" s="1227">
        <f t="shared" si="1"/>
        <v>3518</v>
      </c>
      <c r="X12" s="4"/>
      <c r="Y12" s="5"/>
    </row>
    <row r="13" spans="2:25" ht="27" customHeight="1">
      <c r="B13" s="2"/>
      <c r="C13" s="1878" t="s">
        <v>293</v>
      </c>
      <c r="D13" s="1386" t="s">
        <v>22</v>
      </c>
      <c r="E13" s="1387"/>
      <c r="F13" s="489">
        <v>513</v>
      </c>
      <c r="G13" s="651">
        <v>942</v>
      </c>
      <c r="H13" s="489">
        <v>2380</v>
      </c>
      <c r="I13" s="489">
        <v>7826</v>
      </c>
      <c r="J13" s="489">
        <f aca="true" t="shared" si="2" ref="J13:J18">SUM(H13:I13)</f>
        <v>10206</v>
      </c>
      <c r="K13" s="489"/>
      <c r="L13" s="489">
        <v>2691</v>
      </c>
      <c r="M13" s="489">
        <v>169</v>
      </c>
      <c r="N13" s="489">
        <f>SUM(K13:M13)</f>
        <v>2860</v>
      </c>
      <c r="O13" s="489">
        <v>479</v>
      </c>
      <c r="P13" s="651">
        <v>827</v>
      </c>
      <c r="Q13" s="489">
        <v>2336</v>
      </c>
      <c r="R13" s="548">
        <v>6933</v>
      </c>
      <c r="S13" s="548">
        <f aca="true" t="shared" si="3" ref="S13:S18">SUM(Q13:R13)</f>
        <v>9269</v>
      </c>
      <c r="T13" s="548"/>
      <c r="U13" s="548">
        <v>2359</v>
      </c>
      <c r="V13" s="548">
        <v>155</v>
      </c>
      <c r="W13" s="549">
        <f aca="true" t="shared" si="4" ref="W13:W18">SUM(T13:V13)</f>
        <v>2514</v>
      </c>
      <c r="X13" s="4"/>
      <c r="Y13" s="5"/>
    </row>
    <row r="14" spans="1:25" ht="27" customHeight="1">
      <c r="A14" s="245"/>
      <c r="B14" s="246"/>
      <c r="C14" s="1394"/>
      <c r="D14" s="1371" t="s">
        <v>634</v>
      </c>
      <c r="E14" s="1372"/>
      <c r="F14" s="604">
        <v>22</v>
      </c>
      <c r="G14" s="604">
        <v>39</v>
      </c>
      <c r="H14" s="604">
        <v>351</v>
      </c>
      <c r="I14" s="604">
        <v>757</v>
      </c>
      <c r="J14" s="604">
        <f t="shared" si="2"/>
        <v>1108</v>
      </c>
      <c r="K14" s="605">
        <f>176+176</f>
        <v>352</v>
      </c>
      <c r="L14" s="605">
        <v>354</v>
      </c>
      <c r="M14" s="605"/>
      <c r="N14" s="605">
        <f>SUM(K14:M14)</f>
        <v>706</v>
      </c>
      <c r="O14" s="604">
        <v>22</v>
      </c>
      <c r="P14" s="604">
        <v>46</v>
      </c>
      <c r="Q14" s="604">
        <v>480</v>
      </c>
      <c r="R14" s="548">
        <v>750</v>
      </c>
      <c r="S14" s="548">
        <f t="shared" si="3"/>
        <v>1230</v>
      </c>
      <c r="T14" s="548">
        <f>325</f>
        <v>325</v>
      </c>
      <c r="U14" s="548">
        <v>351</v>
      </c>
      <c r="V14" s="548"/>
      <c r="W14" s="549">
        <f t="shared" si="4"/>
        <v>676</v>
      </c>
      <c r="X14" s="4"/>
      <c r="Y14" s="5"/>
    </row>
    <row r="15" spans="2:25" ht="27" customHeight="1">
      <c r="B15" s="2"/>
      <c r="C15" s="1394"/>
      <c r="D15" s="1371" t="s">
        <v>41</v>
      </c>
      <c r="E15" s="1372"/>
      <c r="F15" s="489">
        <v>60</v>
      </c>
      <c r="G15" s="489">
        <v>114</v>
      </c>
      <c r="H15" s="489">
        <v>1402</v>
      </c>
      <c r="I15" s="489">
        <v>2432</v>
      </c>
      <c r="J15" s="489">
        <f t="shared" si="2"/>
        <v>3834</v>
      </c>
      <c r="K15" s="550"/>
      <c r="L15" s="550">
        <v>700</v>
      </c>
      <c r="M15" s="550"/>
      <c r="N15" s="550">
        <v>700</v>
      </c>
      <c r="O15" s="489">
        <v>70</v>
      </c>
      <c r="P15" s="489">
        <v>200</v>
      </c>
      <c r="Q15" s="489">
        <v>1500</v>
      </c>
      <c r="R15" s="548">
        <v>2500</v>
      </c>
      <c r="S15" s="548">
        <f t="shared" si="3"/>
        <v>4000</v>
      </c>
      <c r="T15" s="548"/>
      <c r="U15" s="548">
        <v>700</v>
      </c>
      <c r="V15" s="548"/>
      <c r="W15" s="549">
        <f t="shared" si="4"/>
        <v>700</v>
      </c>
      <c r="X15" s="4"/>
      <c r="Y15" s="5"/>
    </row>
    <row r="16" spans="2:25" ht="27" customHeight="1">
      <c r="B16" s="2"/>
      <c r="C16" s="1394"/>
      <c r="D16" s="1371" t="s">
        <v>42</v>
      </c>
      <c r="E16" s="1372"/>
      <c r="F16" s="489">
        <v>22</v>
      </c>
      <c r="G16" s="489">
        <v>44</v>
      </c>
      <c r="H16" s="489">
        <v>5</v>
      </c>
      <c r="I16" s="489">
        <v>248</v>
      </c>
      <c r="J16" s="489">
        <f t="shared" si="2"/>
        <v>253</v>
      </c>
      <c r="K16" s="550">
        <f>545+545</f>
        <v>1090</v>
      </c>
      <c r="L16" s="550">
        <v>950</v>
      </c>
      <c r="M16" s="550"/>
      <c r="N16" s="550">
        <f>SUM(K16:M16)</f>
        <v>2040</v>
      </c>
      <c r="O16" s="489">
        <v>25</v>
      </c>
      <c r="P16" s="489">
        <v>50</v>
      </c>
      <c r="Q16" s="489">
        <v>10</v>
      </c>
      <c r="R16" s="548">
        <v>290</v>
      </c>
      <c r="S16" s="548">
        <f t="shared" si="3"/>
        <v>300</v>
      </c>
      <c r="T16" s="548">
        <f>371+371</f>
        <v>742</v>
      </c>
      <c r="U16" s="548">
        <v>1591</v>
      </c>
      <c r="V16" s="548"/>
      <c r="W16" s="549">
        <f t="shared" si="4"/>
        <v>2333</v>
      </c>
      <c r="X16" s="4"/>
      <c r="Y16" s="5"/>
    </row>
    <row r="17" spans="2:25" ht="27" customHeight="1">
      <c r="B17" s="2"/>
      <c r="C17" s="1394"/>
      <c r="D17" s="1371" t="s">
        <v>51</v>
      </c>
      <c r="E17" s="1372" t="s">
        <v>24</v>
      </c>
      <c r="F17" s="604">
        <v>22</v>
      </c>
      <c r="G17" s="604">
        <v>27</v>
      </c>
      <c r="H17" s="604">
        <v>273</v>
      </c>
      <c r="I17" s="604">
        <v>372</v>
      </c>
      <c r="J17" s="489">
        <f t="shared" si="2"/>
        <v>645</v>
      </c>
      <c r="K17" s="605"/>
      <c r="L17" s="605">
        <v>195</v>
      </c>
      <c r="M17" s="605"/>
      <c r="N17" s="550">
        <f>SUM(K17:M17)</f>
        <v>195</v>
      </c>
      <c r="O17" s="604">
        <v>22</v>
      </c>
      <c r="P17" s="604">
        <v>27</v>
      </c>
      <c r="Q17" s="604">
        <v>290</v>
      </c>
      <c r="R17" s="548">
        <v>350</v>
      </c>
      <c r="S17" s="548">
        <f t="shared" si="3"/>
        <v>640</v>
      </c>
      <c r="T17" s="548"/>
      <c r="U17" s="548">
        <v>186</v>
      </c>
      <c r="V17" s="548"/>
      <c r="W17" s="549">
        <f t="shared" si="4"/>
        <v>186</v>
      </c>
      <c r="X17" s="4"/>
      <c r="Y17" s="5"/>
    </row>
    <row r="18" spans="2:25" ht="27" customHeight="1" thickBot="1">
      <c r="B18" s="2"/>
      <c r="C18" s="1394"/>
      <c r="D18" s="1389" t="s">
        <v>52</v>
      </c>
      <c r="E18" s="1390" t="s">
        <v>24</v>
      </c>
      <c r="F18" s="1160">
        <v>6</v>
      </c>
      <c r="G18" s="1160">
        <v>10</v>
      </c>
      <c r="H18" s="1160">
        <v>6</v>
      </c>
      <c r="I18" s="1160">
        <v>73</v>
      </c>
      <c r="J18" s="1228">
        <f t="shared" si="2"/>
        <v>79</v>
      </c>
      <c r="K18" s="1160"/>
      <c r="L18" s="1160">
        <v>17</v>
      </c>
      <c r="M18" s="1160"/>
      <c r="N18" s="1228">
        <f>SUM(K18:M18)</f>
        <v>17</v>
      </c>
      <c r="O18" s="1160">
        <v>1</v>
      </c>
      <c r="P18" s="1160">
        <v>2</v>
      </c>
      <c r="Q18" s="1160">
        <v>5</v>
      </c>
      <c r="R18" s="1229">
        <v>15</v>
      </c>
      <c r="S18" s="1229">
        <f t="shared" si="3"/>
        <v>20</v>
      </c>
      <c r="T18" s="1229"/>
      <c r="U18" s="1229">
        <v>20</v>
      </c>
      <c r="V18" s="1229"/>
      <c r="W18" s="1020">
        <f t="shared" si="4"/>
        <v>20</v>
      </c>
      <c r="X18" s="4"/>
      <c r="Y18" s="5"/>
    </row>
    <row r="19" spans="2:25" ht="27" customHeight="1" thickBot="1" thickTop="1">
      <c r="B19" s="2"/>
      <c r="C19" s="1890"/>
      <c r="D19" s="1862" t="s">
        <v>20</v>
      </c>
      <c r="E19" s="1863"/>
      <c r="F19" s="1226">
        <f aca="true" t="shared" si="5" ref="F19:W19">SUM(F13:F18)</f>
        <v>645</v>
      </c>
      <c r="G19" s="1226">
        <f t="shared" si="5"/>
        <v>1176</v>
      </c>
      <c r="H19" s="1226">
        <f t="shared" si="5"/>
        <v>4417</v>
      </c>
      <c r="I19" s="1226">
        <f t="shared" si="5"/>
        <v>11708</v>
      </c>
      <c r="J19" s="1226">
        <f t="shared" si="5"/>
        <v>16125</v>
      </c>
      <c r="K19" s="1226">
        <f t="shared" si="5"/>
        <v>1442</v>
      </c>
      <c r="L19" s="1226">
        <f t="shared" si="5"/>
        <v>4907</v>
      </c>
      <c r="M19" s="1226">
        <f t="shared" si="5"/>
        <v>169</v>
      </c>
      <c r="N19" s="1230">
        <f t="shared" si="5"/>
        <v>6518</v>
      </c>
      <c r="O19" s="1226">
        <f t="shared" si="5"/>
        <v>619</v>
      </c>
      <c r="P19" s="1226">
        <f t="shared" si="5"/>
        <v>1152</v>
      </c>
      <c r="Q19" s="1226">
        <f t="shared" si="5"/>
        <v>4621</v>
      </c>
      <c r="R19" s="1226">
        <f t="shared" si="5"/>
        <v>10838</v>
      </c>
      <c r="S19" s="1226">
        <f t="shared" si="5"/>
        <v>15459</v>
      </c>
      <c r="T19" s="1226">
        <f t="shared" si="5"/>
        <v>1067</v>
      </c>
      <c r="U19" s="1226">
        <f t="shared" si="5"/>
        <v>5207</v>
      </c>
      <c r="V19" s="1226">
        <f t="shared" si="5"/>
        <v>155</v>
      </c>
      <c r="W19" s="1231">
        <f t="shared" si="5"/>
        <v>6429</v>
      </c>
      <c r="X19" s="4"/>
      <c r="Y19" s="5"/>
    </row>
    <row r="20" spans="2:25" ht="27" customHeight="1">
      <c r="B20" s="2"/>
      <c r="C20" s="1878" t="s">
        <v>295</v>
      </c>
      <c r="D20" s="1386" t="s">
        <v>25</v>
      </c>
      <c r="E20" s="1387"/>
      <c r="F20" s="604">
        <v>77</v>
      </c>
      <c r="G20" s="604">
        <v>240</v>
      </c>
      <c r="H20" s="604">
        <v>759</v>
      </c>
      <c r="I20" s="604">
        <v>1441</v>
      </c>
      <c r="J20" s="604">
        <f aca="true" t="shared" si="6" ref="J20:J25">SUM(H20:I20)</f>
        <v>2200</v>
      </c>
      <c r="K20" s="614"/>
      <c r="L20" s="614">
        <v>850</v>
      </c>
      <c r="M20" s="614"/>
      <c r="N20" s="614">
        <f>SUM(K20:M20)</f>
        <v>850</v>
      </c>
      <c r="O20" s="604">
        <v>72</v>
      </c>
      <c r="P20" s="604">
        <v>233</v>
      </c>
      <c r="Q20" s="604">
        <v>685</v>
      </c>
      <c r="R20" s="548">
        <v>1616</v>
      </c>
      <c r="S20" s="548">
        <f aca="true" t="shared" si="7" ref="S20:S25">SUM(Q20:R20)</f>
        <v>2301</v>
      </c>
      <c r="T20" s="548"/>
      <c r="U20" s="548">
        <v>750</v>
      </c>
      <c r="V20" s="548"/>
      <c r="W20" s="549">
        <f>SUM(T20:V20)</f>
        <v>750</v>
      </c>
      <c r="X20" s="4"/>
      <c r="Y20" s="5"/>
    </row>
    <row r="21" spans="2:25" ht="27" customHeight="1">
      <c r="B21" s="2"/>
      <c r="C21" s="1879"/>
      <c r="D21" s="1371" t="s">
        <v>26</v>
      </c>
      <c r="E21" s="1372"/>
      <c r="F21" s="489">
        <v>133</v>
      </c>
      <c r="G21" s="489">
        <v>330</v>
      </c>
      <c r="H21" s="489">
        <v>1460</v>
      </c>
      <c r="I21" s="489">
        <v>2262</v>
      </c>
      <c r="J21" s="489">
        <f t="shared" si="6"/>
        <v>3722</v>
      </c>
      <c r="K21" s="550"/>
      <c r="L21" s="550">
        <v>796</v>
      </c>
      <c r="M21" s="550">
        <v>347</v>
      </c>
      <c r="N21" s="550">
        <f>SUM(K21:M21)</f>
        <v>1143</v>
      </c>
      <c r="O21" s="489">
        <v>125</v>
      </c>
      <c r="P21" s="489">
        <v>324</v>
      </c>
      <c r="Q21" s="489">
        <v>1369</v>
      </c>
      <c r="R21" s="548">
        <v>1970</v>
      </c>
      <c r="S21" s="548">
        <f t="shared" si="7"/>
        <v>3339</v>
      </c>
      <c r="T21" s="548"/>
      <c r="U21" s="548">
        <v>1011</v>
      </c>
      <c r="V21" s="548">
        <v>362</v>
      </c>
      <c r="W21" s="549">
        <f>SUM(T21:V21)</f>
        <v>1373</v>
      </c>
      <c r="X21" s="4"/>
      <c r="Y21" s="5"/>
    </row>
    <row r="22" spans="2:25" ht="27" customHeight="1">
      <c r="B22" s="2"/>
      <c r="C22" s="1879"/>
      <c r="D22" s="1371" t="s">
        <v>43</v>
      </c>
      <c r="E22" s="1372"/>
      <c r="F22" s="489">
        <v>29</v>
      </c>
      <c r="G22" s="489">
        <v>55</v>
      </c>
      <c r="H22" s="489">
        <v>277</v>
      </c>
      <c r="I22" s="489">
        <v>447</v>
      </c>
      <c r="J22" s="489">
        <f t="shared" si="6"/>
        <v>724</v>
      </c>
      <c r="K22" s="550">
        <v>1145</v>
      </c>
      <c r="L22" s="550">
        <v>673</v>
      </c>
      <c r="M22" s="550">
        <v>16</v>
      </c>
      <c r="N22" s="550">
        <f>SUM(K22:M22)</f>
        <v>1834</v>
      </c>
      <c r="O22" s="489">
        <v>30</v>
      </c>
      <c r="P22" s="489">
        <v>64</v>
      </c>
      <c r="Q22" s="489">
        <v>248</v>
      </c>
      <c r="R22" s="548">
        <v>492</v>
      </c>
      <c r="S22" s="548">
        <f t="shared" si="7"/>
        <v>740</v>
      </c>
      <c r="T22" s="548">
        <v>1318</v>
      </c>
      <c r="U22" s="548">
        <v>745</v>
      </c>
      <c r="V22" s="548">
        <v>5</v>
      </c>
      <c r="W22" s="549">
        <f>SUM(T22:V22)</f>
        <v>2068</v>
      </c>
      <c r="X22" s="4"/>
      <c r="Y22" s="5"/>
    </row>
    <row r="23" spans="2:25" ht="27" customHeight="1">
      <c r="B23" s="2"/>
      <c r="C23" s="1879"/>
      <c r="D23" s="1371" t="s">
        <v>44</v>
      </c>
      <c r="E23" s="1372"/>
      <c r="F23" s="489">
        <v>4</v>
      </c>
      <c r="G23" s="489">
        <v>6</v>
      </c>
      <c r="H23" s="489">
        <v>12</v>
      </c>
      <c r="I23" s="489">
        <v>21</v>
      </c>
      <c r="J23" s="489">
        <f t="shared" si="6"/>
        <v>33</v>
      </c>
      <c r="K23" s="550"/>
      <c r="L23" s="550">
        <v>112</v>
      </c>
      <c r="M23" s="550"/>
      <c r="N23" s="550">
        <f>SUM(K23:M23)</f>
        <v>112</v>
      </c>
      <c r="O23" s="489">
        <v>4</v>
      </c>
      <c r="P23" s="489">
        <v>6</v>
      </c>
      <c r="Q23" s="489">
        <v>12</v>
      </c>
      <c r="R23" s="548">
        <v>32</v>
      </c>
      <c r="S23" s="548">
        <f t="shared" si="7"/>
        <v>44</v>
      </c>
      <c r="T23" s="548"/>
      <c r="U23" s="548">
        <v>115</v>
      </c>
      <c r="V23" s="548"/>
      <c r="W23" s="549">
        <f>SUM(T23:V23)</f>
        <v>115</v>
      </c>
      <c r="X23" s="4"/>
      <c r="Y23" s="5"/>
    </row>
    <row r="24" spans="2:25" ht="27" customHeight="1">
      <c r="B24" s="2"/>
      <c r="C24" s="1879"/>
      <c r="D24" s="1371" t="s">
        <v>53</v>
      </c>
      <c r="E24" s="1372"/>
      <c r="F24" s="489" t="s">
        <v>939</v>
      </c>
      <c r="G24" s="489"/>
      <c r="H24" s="489"/>
      <c r="I24" s="489"/>
      <c r="J24" s="489"/>
      <c r="K24" s="550"/>
      <c r="L24" s="550"/>
      <c r="M24" s="550"/>
      <c r="N24" s="550"/>
      <c r="O24" s="489" t="s">
        <v>867</v>
      </c>
      <c r="P24" s="489"/>
      <c r="Q24" s="489"/>
      <c r="R24" s="548"/>
      <c r="S24" s="548"/>
      <c r="T24" s="548"/>
      <c r="U24" s="548"/>
      <c r="V24" s="548"/>
      <c r="W24" s="549"/>
      <c r="X24" s="4"/>
      <c r="Y24" s="5"/>
    </row>
    <row r="25" spans="2:25" ht="27" customHeight="1">
      <c r="B25" s="2"/>
      <c r="C25" s="1879"/>
      <c r="D25" s="1386" t="s">
        <v>27</v>
      </c>
      <c r="E25" s="1387"/>
      <c r="F25" s="489">
        <v>57</v>
      </c>
      <c r="G25" s="489">
        <v>94</v>
      </c>
      <c r="H25" s="489">
        <v>943</v>
      </c>
      <c r="I25" s="489">
        <v>1807</v>
      </c>
      <c r="J25" s="489">
        <f t="shared" si="6"/>
        <v>2750</v>
      </c>
      <c r="K25" s="489">
        <v>212</v>
      </c>
      <c r="L25" s="489">
        <v>117</v>
      </c>
      <c r="M25" s="489"/>
      <c r="N25" s="489">
        <f>SUM(K25:M25)</f>
        <v>329</v>
      </c>
      <c r="O25" s="489">
        <v>67</v>
      </c>
      <c r="P25" s="489">
        <v>92</v>
      </c>
      <c r="Q25" s="489">
        <v>1153</v>
      </c>
      <c r="R25" s="548">
        <v>1159</v>
      </c>
      <c r="S25" s="548">
        <f t="shared" si="7"/>
        <v>2312</v>
      </c>
      <c r="T25" s="548">
        <v>196</v>
      </c>
      <c r="U25" s="548">
        <v>145</v>
      </c>
      <c r="V25" s="548"/>
      <c r="W25" s="549">
        <f>SUM(T25:V25)</f>
        <v>341</v>
      </c>
      <c r="X25" s="4"/>
      <c r="Y25" s="5"/>
    </row>
    <row r="26" spans="2:25" ht="27" customHeight="1">
      <c r="B26" s="2"/>
      <c r="C26" s="1879"/>
      <c r="D26" s="1371" t="s">
        <v>54</v>
      </c>
      <c r="E26" s="1372"/>
      <c r="F26" s="489" t="s">
        <v>877</v>
      </c>
      <c r="G26" s="489"/>
      <c r="H26" s="489"/>
      <c r="I26" s="489"/>
      <c r="J26" s="489"/>
      <c r="K26" s="550"/>
      <c r="L26" s="550"/>
      <c r="M26" s="550"/>
      <c r="N26" s="489"/>
      <c r="O26" s="489" t="s">
        <v>867</v>
      </c>
      <c r="P26" s="489"/>
      <c r="Q26" s="489"/>
      <c r="R26" s="548"/>
      <c r="S26" s="548"/>
      <c r="T26" s="548"/>
      <c r="U26" s="548"/>
      <c r="V26" s="548"/>
      <c r="W26" s="549"/>
      <c r="X26" s="4"/>
      <c r="Y26" s="5"/>
    </row>
    <row r="27" spans="2:25" ht="27" customHeight="1">
      <c r="B27" s="2"/>
      <c r="C27" s="1879"/>
      <c r="D27" s="1371" t="s">
        <v>45</v>
      </c>
      <c r="E27" s="1372"/>
      <c r="F27" s="489">
        <v>1</v>
      </c>
      <c r="G27" s="489">
        <v>3</v>
      </c>
      <c r="H27" s="489">
        <v>2</v>
      </c>
      <c r="I27" s="489">
        <v>10</v>
      </c>
      <c r="J27" s="489">
        <f>SUM(H27:I27)</f>
        <v>12</v>
      </c>
      <c r="K27" s="550"/>
      <c r="L27" s="550">
        <v>10</v>
      </c>
      <c r="M27" s="550"/>
      <c r="N27" s="550">
        <f>SUM(K27:M27)</f>
        <v>10</v>
      </c>
      <c r="O27" s="489">
        <v>3</v>
      </c>
      <c r="P27" s="489">
        <v>9</v>
      </c>
      <c r="Q27" s="489">
        <v>6</v>
      </c>
      <c r="R27" s="548">
        <v>30</v>
      </c>
      <c r="S27" s="548">
        <f>SUM(Q27:R27)</f>
        <v>36</v>
      </c>
      <c r="T27" s="548"/>
      <c r="U27" s="548">
        <v>10</v>
      </c>
      <c r="V27" s="548"/>
      <c r="W27" s="549">
        <f>SUM(T27:V27)</f>
        <v>10</v>
      </c>
      <c r="X27" s="4"/>
      <c r="Y27" s="5"/>
    </row>
    <row r="28" spans="2:25" ht="27" customHeight="1" thickBot="1">
      <c r="B28" s="2"/>
      <c r="C28" s="1879"/>
      <c r="D28" s="1389" t="s">
        <v>46</v>
      </c>
      <c r="E28" s="1390"/>
      <c r="F28" s="1228">
        <v>87</v>
      </c>
      <c r="G28" s="1228">
        <v>176</v>
      </c>
      <c r="H28" s="1228">
        <v>252</v>
      </c>
      <c r="I28" s="1228">
        <v>815</v>
      </c>
      <c r="J28" s="1228">
        <f>SUM(H28:I28)</f>
        <v>1067</v>
      </c>
      <c r="K28" s="1228">
        <v>11</v>
      </c>
      <c r="L28" s="1228">
        <v>504</v>
      </c>
      <c r="M28" s="1228">
        <v>115</v>
      </c>
      <c r="N28" s="1228">
        <f>SUM(K28:M28)</f>
        <v>630</v>
      </c>
      <c r="O28" s="1228">
        <v>88</v>
      </c>
      <c r="P28" s="1228">
        <v>173</v>
      </c>
      <c r="Q28" s="1228">
        <v>240</v>
      </c>
      <c r="R28" s="1229">
        <v>999</v>
      </c>
      <c r="S28" s="1229">
        <f>SUM(Q28:R28)</f>
        <v>1239</v>
      </c>
      <c r="T28" s="1229">
        <v>45</v>
      </c>
      <c r="U28" s="1229">
        <v>537</v>
      </c>
      <c r="V28" s="1229">
        <v>136</v>
      </c>
      <c r="W28" s="1020">
        <f>SUM(T28:V28)</f>
        <v>718</v>
      </c>
      <c r="X28" s="4"/>
      <c r="Y28" s="5"/>
    </row>
    <row r="29" spans="2:25" ht="27" customHeight="1" thickBot="1" thickTop="1">
      <c r="B29" s="2"/>
      <c r="C29" s="1880"/>
      <c r="D29" s="1862" t="s">
        <v>20</v>
      </c>
      <c r="E29" s="1863"/>
      <c r="F29" s="1226">
        <f>SUM(F20:F28)</f>
        <v>388</v>
      </c>
      <c r="G29" s="1226">
        <f>SUM(G20:G28)</f>
        <v>904</v>
      </c>
      <c r="H29" s="1226">
        <f>SUM(H20:H28)</f>
        <v>3705</v>
      </c>
      <c r="I29" s="1226">
        <f>SUM(I20:I28)</f>
        <v>6803</v>
      </c>
      <c r="J29" s="1226">
        <f>SUM(J20:J28)</f>
        <v>10508</v>
      </c>
      <c r="K29" s="1226">
        <f aca="true" t="shared" si="8" ref="K29:S29">SUM(K20:K28)</f>
        <v>1368</v>
      </c>
      <c r="L29" s="1226">
        <f t="shared" si="8"/>
        <v>3062</v>
      </c>
      <c r="M29" s="1226">
        <f t="shared" si="8"/>
        <v>478</v>
      </c>
      <c r="N29" s="1226">
        <f t="shared" si="8"/>
        <v>4908</v>
      </c>
      <c r="O29" s="1226">
        <f t="shared" si="8"/>
        <v>389</v>
      </c>
      <c r="P29" s="1226">
        <f t="shared" si="8"/>
        <v>901</v>
      </c>
      <c r="Q29" s="1226">
        <f t="shared" si="8"/>
        <v>3713</v>
      </c>
      <c r="R29" s="1226">
        <f t="shared" si="8"/>
        <v>6298</v>
      </c>
      <c r="S29" s="1226">
        <f t="shared" si="8"/>
        <v>10011</v>
      </c>
      <c r="T29" s="1226">
        <f>SUM(T20:T28)</f>
        <v>1559</v>
      </c>
      <c r="U29" s="1226">
        <f>SUM(U20:U28)</f>
        <v>3313</v>
      </c>
      <c r="V29" s="1226">
        <f>SUM(V20:V28)</f>
        <v>503</v>
      </c>
      <c r="W29" s="1232">
        <f>SUM(W20:W28)</f>
        <v>5375</v>
      </c>
      <c r="X29" s="4"/>
      <c r="Y29" s="5"/>
    </row>
    <row r="30" spans="2:24" s="937" customFormat="1" ht="21" customHeight="1">
      <c r="B30" s="7"/>
      <c r="C30" s="935"/>
      <c r="D30" s="936"/>
      <c r="E30" s="936"/>
      <c r="F30" s="1895" t="s">
        <v>1061</v>
      </c>
      <c r="G30" s="1895"/>
      <c r="H30" s="1895"/>
      <c r="I30" s="1895"/>
      <c r="J30" s="1895"/>
      <c r="K30" s="1895"/>
      <c r="L30" s="1895"/>
      <c r="M30" s="1895"/>
      <c r="N30" s="1895"/>
      <c r="O30" s="1895" t="s">
        <v>1062</v>
      </c>
      <c r="P30" s="1895"/>
      <c r="Q30" s="1895"/>
      <c r="R30" s="1895"/>
      <c r="S30" s="1895"/>
      <c r="T30" s="1895"/>
      <c r="U30" s="1895"/>
      <c r="V30" s="1895"/>
      <c r="W30" s="1895"/>
      <c r="X30" s="7"/>
    </row>
    <row r="31" spans="4:23" s="937" customFormat="1" ht="21" customHeight="1">
      <c r="D31" s="938"/>
      <c r="F31" s="7" t="s">
        <v>942</v>
      </c>
      <c r="G31" s="7"/>
      <c r="H31" s="7"/>
      <c r="I31" s="7"/>
      <c r="J31" s="7"/>
      <c r="K31" s="940"/>
      <c r="L31" s="940"/>
      <c r="M31" s="940"/>
      <c r="N31" s="940"/>
      <c r="O31" s="7" t="s">
        <v>942</v>
      </c>
      <c r="P31" s="7"/>
      <c r="Q31" s="7"/>
      <c r="R31" s="7"/>
      <c r="S31" s="941"/>
      <c r="T31" s="941"/>
      <c r="U31" s="941"/>
      <c r="V31" s="941"/>
      <c r="W31" s="7"/>
    </row>
  </sheetData>
  <sheetProtection/>
  <mergeCells count="40">
    <mergeCell ref="T4:W4"/>
    <mergeCell ref="K4:N4"/>
    <mergeCell ref="F30:N30"/>
    <mergeCell ref="O30:W30"/>
    <mergeCell ref="D29:E29"/>
    <mergeCell ref="C20:C29"/>
    <mergeCell ref="D20:E20"/>
    <mergeCell ref="D21:E21"/>
    <mergeCell ref="D22:E22"/>
    <mergeCell ref="D23:E23"/>
    <mergeCell ref="D24:E24"/>
    <mergeCell ref="D25:E25"/>
    <mergeCell ref="D26:E26"/>
    <mergeCell ref="D27:E27"/>
    <mergeCell ref="C3:E5"/>
    <mergeCell ref="D28:E28"/>
    <mergeCell ref="C13:C19"/>
    <mergeCell ref="D13:E13"/>
    <mergeCell ref="D14:E14"/>
    <mergeCell ref="D15:E15"/>
    <mergeCell ref="D16:E16"/>
    <mergeCell ref="D17:E17"/>
    <mergeCell ref="D18:E18"/>
    <mergeCell ref="D19:E19"/>
    <mergeCell ref="C6:E6"/>
    <mergeCell ref="C7:C12"/>
    <mergeCell ref="D7:E7"/>
    <mergeCell ref="D8:E8"/>
    <mergeCell ref="D9:E9"/>
    <mergeCell ref="D10:E10"/>
    <mergeCell ref="D11:E11"/>
    <mergeCell ref="D12:E12"/>
    <mergeCell ref="F3:N3"/>
    <mergeCell ref="O3:W3"/>
    <mergeCell ref="F4:F5"/>
    <mergeCell ref="G4:G5"/>
    <mergeCell ref="H4:J4"/>
    <mergeCell ref="O4:O5"/>
    <mergeCell ref="P4:P5"/>
    <mergeCell ref="Q4:S4"/>
  </mergeCells>
  <dataValidations count="1">
    <dataValidation allowBlank="1" showInputMessage="1" showErrorMessage="1" imeMode="off" sqref="F6:W29"/>
  </dataValidations>
  <printOptions/>
  <pageMargins left="0.7086614173228347" right="0.1968503937007874" top="1.062992125984252" bottom="0.1968503937007874" header="0.7874015748031497" footer="0.3937007874015748"/>
  <pageSetup firstPageNumber="23" useFirstPageNumber="1" horizontalDpi="600" verticalDpi="600" orientation="portrait" pageOrder="overThenDown" paperSize="9" scale="99" r:id="rId2"/>
  <headerFooter scaleWithDoc="0" alignWithMargins="0">
    <oddHeader>&amp;L&amp;"ＭＳ Ｐゴシック,太字"11　家庭教育に関する講座開設状況</oddHeader>
    <oddFooter>&amp;C&amp;12&amp;P</oddFooter>
  </headerFooter>
  <colBreaks count="1" manualBreakCount="1">
    <brk id="14" min="2" max="30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9"/>
  <sheetViews>
    <sheetView showZeros="0" view="pageBreakPreview" zoomScale="120" zoomScaleNormal="120" zoomScaleSheetLayoutView="120" zoomScalePageLayoutView="0" workbookViewId="0" topLeftCell="A1">
      <pane xSplit="2" ySplit="5" topLeftCell="C6" activePane="bottomRight" state="frozen"/>
      <selection pane="topLeft" activeCell="N6" sqref="N6"/>
      <selection pane="topRight" activeCell="N6" sqref="N6"/>
      <selection pane="bottomLeft" activeCell="N6" sqref="N6"/>
      <selection pane="bottomRight" activeCell="N6" sqref="N6"/>
    </sheetView>
  </sheetViews>
  <sheetFormatPr defaultColWidth="9.00390625" defaultRowHeight="13.5"/>
  <cols>
    <col min="1" max="1" width="2.875" style="18" customWidth="1"/>
    <col min="2" max="2" width="11.25390625" style="18" customWidth="1"/>
    <col min="3" max="14" width="6.625" style="18" customWidth="1"/>
    <col min="15" max="16384" width="9.00390625" style="18" customWidth="1"/>
  </cols>
  <sheetData>
    <row r="1" spans="1:14" s="42" customFormat="1" ht="22.5" customHeight="1">
      <c r="A1" s="1913" t="s">
        <v>207</v>
      </c>
      <c r="B1" s="1914"/>
      <c r="C1" s="1919" t="s">
        <v>938</v>
      </c>
      <c r="D1" s="1897"/>
      <c r="E1" s="1898"/>
      <c r="F1" s="1898"/>
      <c r="G1" s="1898"/>
      <c r="H1" s="1899"/>
      <c r="I1" s="1896" t="s">
        <v>932</v>
      </c>
      <c r="J1" s="1897"/>
      <c r="K1" s="1898"/>
      <c r="L1" s="1898"/>
      <c r="M1" s="1898"/>
      <c r="N1" s="1899"/>
    </row>
    <row r="2" spans="1:14" s="42" customFormat="1" ht="22.5" customHeight="1">
      <c r="A2" s="1915"/>
      <c r="B2" s="1916"/>
      <c r="C2" s="1900" t="s">
        <v>90</v>
      </c>
      <c r="D2" s="1901"/>
      <c r="E2" s="1901"/>
      <c r="F2" s="1901"/>
      <c r="G2" s="1901"/>
      <c r="H2" s="1902"/>
      <c r="I2" s="1903" t="s">
        <v>90</v>
      </c>
      <c r="J2" s="1901"/>
      <c r="K2" s="1901"/>
      <c r="L2" s="1901"/>
      <c r="M2" s="1901"/>
      <c r="N2" s="1902"/>
    </row>
    <row r="3" spans="1:14" s="42" customFormat="1" ht="22.5" customHeight="1">
      <c r="A3" s="1915"/>
      <c r="B3" s="1916"/>
      <c r="C3" s="942" t="s">
        <v>944</v>
      </c>
      <c r="D3" s="942" t="s">
        <v>201</v>
      </c>
      <c r="E3" s="1904" t="s">
        <v>768</v>
      </c>
      <c r="F3" s="1904"/>
      <c r="G3" s="1904"/>
      <c r="H3" s="929" t="s">
        <v>945</v>
      </c>
      <c r="I3" s="942" t="s">
        <v>944</v>
      </c>
      <c r="J3" s="942" t="s">
        <v>201</v>
      </c>
      <c r="K3" s="1904" t="s">
        <v>768</v>
      </c>
      <c r="L3" s="1904"/>
      <c r="M3" s="1904"/>
      <c r="N3" s="929" t="s">
        <v>945</v>
      </c>
    </row>
    <row r="4" spans="1:14" s="42" customFormat="1" ht="22.5" customHeight="1" thickBot="1">
      <c r="A4" s="1917"/>
      <c r="B4" s="1918"/>
      <c r="C4" s="943" t="s">
        <v>947</v>
      </c>
      <c r="D4" s="943" t="s">
        <v>202</v>
      </c>
      <c r="E4" s="289" t="s">
        <v>192</v>
      </c>
      <c r="F4" s="289" t="s">
        <v>193</v>
      </c>
      <c r="G4" s="289" t="s">
        <v>96</v>
      </c>
      <c r="H4" s="944" t="s">
        <v>946</v>
      </c>
      <c r="I4" s="943" t="s">
        <v>947</v>
      </c>
      <c r="J4" s="943" t="s">
        <v>202</v>
      </c>
      <c r="K4" s="289" t="s">
        <v>192</v>
      </c>
      <c r="L4" s="289" t="s">
        <v>193</v>
      </c>
      <c r="M4" s="289" t="s">
        <v>96</v>
      </c>
      <c r="N4" s="944" t="s">
        <v>946</v>
      </c>
    </row>
    <row r="5" spans="1:14" s="42" customFormat="1" ht="27" customHeight="1" thickBot="1">
      <c r="A5" s="1911" t="s">
        <v>208</v>
      </c>
      <c r="B5" s="1912"/>
      <c r="C5" s="722">
        <f aca="true" t="shared" si="0" ref="C5:N5">SUM(C11+C18+C28)</f>
        <v>1657</v>
      </c>
      <c r="D5" s="722">
        <f>SUM(D11+D18+D28)</f>
        <v>3912</v>
      </c>
      <c r="E5" s="722">
        <f t="shared" si="0"/>
        <v>13646</v>
      </c>
      <c r="F5" s="722">
        <f t="shared" si="0"/>
        <v>32217</v>
      </c>
      <c r="G5" s="722">
        <f t="shared" si="0"/>
        <v>45863</v>
      </c>
      <c r="H5" s="723">
        <f t="shared" si="0"/>
        <v>14995</v>
      </c>
      <c r="I5" s="724">
        <f t="shared" si="0"/>
        <v>1607</v>
      </c>
      <c r="J5" s="722">
        <f t="shared" si="0"/>
        <v>3738</v>
      </c>
      <c r="K5" s="722">
        <f t="shared" si="0"/>
        <v>15004</v>
      </c>
      <c r="L5" s="722">
        <f t="shared" si="0"/>
        <v>32756</v>
      </c>
      <c r="M5" s="722">
        <f t="shared" si="0"/>
        <v>47760</v>
      </c>
      <c r="N5" s="723">
        <f t="shared" si="0"/>
        <v>16433</v>
      </c>
    </row>
    <row r="6" spans="1:14" s="42" customFormat="1" ht="27" customHeight="1">
      <c r="A6" s="1908" t="s">
        <v>204</v>
      </c>
      <c r="B6" s="1118" t="s">
        <v>93</v>
      </c>
      <c r="C6" s="725">
        <v>284</v>
      </c>
      <c r="D6" s="725">
        <v>675</v>
      </c>
      <c r="E6" s="726">
        <v>2605</v>
      </c>
      <c r="F6" s="726">
        <v>4181</v>
      </c>
      <c r="G6" s="945" t="s">
        <v>948</v>
      </c>
      <c r="H6" s="728">
        <v>2211</v>
      </c>
      <c r="I6" s="729">
        <v>263</v>
      </c>
      <c r="J6" s="725">
        <v>633</v>
      </c>
      <c r="K6" s="726">
        <v>3143</v>
      </c>
      <c r="L6" s="726">
        <v>4635</v>
      </c>
      <c r="M6" s="946" t="s">
        <v>949</v>
      </c>
      <c r="N6" s="728">
        <v>2510</v>
      </c>
    </row>
    <row r="7" spans="1:14" s="42" customFormat="1" ht="27" customHeight="1">
      <c r="A7" s="1909"/>
      <c r="B7" s="1119" t="s">
        <v>97</v>
      </c>
      <c r="C7" s="730">
        <v>174</v>
      </c>
      <c r="D7" s="730">
        <v>287</v>
      </c>
      <c r="E7" s="727">
        <v>307</v>
      </c>
      <c r="F7" s="727">
        <v>744</v>
      </c>
      <c r="G7" s="727">
        <f>SUM(E7:F7)</f>
        <v>1051</v>
      </c>
      <c r="H7" s="731">
        <v>491</v>
      </c>
      <c r="I7" s="732">
        <v>152</v>
      </c>
      <c r="J7" s="730">
        <v>301</v>
      </c>
      <c r="K7" s="727">
        <v>278</v>
      </c>
      <c r="L7" s="727">
        <v>536</v>
      </c>
      <c r="M7" s="726">
        <f>SUM(K7:L7)</f>
        <v>814</v>
      </c>
      <c r="N7" s="731">
        <v>420</v>
      </c>
    </row>
    <row r="8" spans="1:14" s="42" customFormat="1" ht="27" customHeight="1">
      <c r="A8" s="1909"/>
      <c r="B8" s="1119" t="s">
        <v>39</v>
      </c>
      <c r="C8" s="730">
        <v>166</v>
      </c>
      <c r="D8" s="730">
        <v>485</v>
      </c>
      <c r="E8" s="727">
        <v>966</v>
      </c>
      <c r="F8" s="727">
        <v>1256</v>
      </c>
      <c r="G8" s="727">
        <f>SUM(E8:F8)</f>
        <v>2222</v>
      </c>
      <c r="H8" s="731">
        <v>188</v>
      </c>
      <c r="I8" s="732">
        <v>180</v>
      </c>
      <c r="J8" s="730">
        <v>509</v>
      </c>
      <c r="K8" s="727">
        <v>1051</v>
      </c>
      <c r="L8" s="727">
        <v>1529</v>
      </c>
      <c r="M8" s="727">
        <f>SUM(K8:L8)</f>
        <v>2580</v>
      </c>
      <c r="N8" s="731">
        <v>202</v>
      </c>
    </row>
    <row r="9" spans="1:14" s="42" customFormat="1" ht="27" customHeight="1">
      <c r="A9" s="1909"/>
      <c r="B9" s="1094" t="s">
        <v>100</v>
      </c>
      <c r="C9" s="725">
        <v>118</v>
      </c>
      <c r="D9" s="725">
        <v>223</v>
      </c>
      <c r="E9" s="726">
        <v>414</v>
      </c>
      <c r="F9" s="726">
        <v>10537</v>
      </c>
      <c r="G9" s="727">
        <f>SUM(E9:F9)</f>
        <v>10951</v>
      </c>
      <c r="H9" s="728">
        <v>1205</v>
      </c>
      <c r="I9" s="729">
        <v>120</v>
      </c>
      <c r="J9" s="725">
        <v>228</v>
      </c>
      <c r="K9" s="726">
        <v>557</v>
      </c>
      <c r="L9" s="726">
        <v>11132</v>
      </c>
      <c r="M9" s="726">
        <f>SUM(K9:L9)</f>
        <v>11689</v>
      </c>
      <c r="N9" s="728">
        <v>1203</v>
      </c>
    </row>
    <row r="10" spans="1:14" s="42" customFormat="1" ht="27" customHeight="1" thickBot="1">
      <c r="A10" s="1909"/>
      <c r="B10" s="1233" t="s">
        <v>101</v>
      </c>
      <c r="C10" s="1234" t="s">
        <v>867</v>
      </c>
      <c r="D10" s="1235"/>
      <c r="E10" s="1236"/>
      <c r="F10" s="1236"/>
      <c r="G10" s="1236">
        <f>SUM(E10:F10)</f>
        <v>0</v>
      </c>
      <c r="H10" s="1237"/>
      <c r="I10" s="1238" t="s">
        <v>867</v>
      </c>
      <c r="J10" s="1235"/>
      <c r="K10" s="1236"/>
      <c r="L10" s="1236"/>
      <c r="M10" s="1236">
        <f>SUM(K10:L10)</f>
        <v>0</v>
      </c>
      <c r="N10" s="1237"/>
    </row>
    <row r="11" spans="1:14" s="42" customFormat="1" ht="27" customHeight="1" thickBot="1" thickTop="1">
      <c r="A11" s="1910"/>
      <c r="B11" s="1062" t="s">
        <v>196</v>
      </c>
      <c r="C11" s="733">
        <f aca="true" t="shared" si="1" ref="C11:N11">SUM(C6:C10)</f>
        <v>742</v>
      </c>
      <c r="D11" s="733">
        <f>SUM(D6:D10)</f>
        <v>1670</v>
      </c>
      <c r="E11" s="733">
        <f t="shared" si="1"/>
        <v>4292</v>
      </c>
      <c r="F11" s="733">
        <f t="shared" si="1"/>
        <v>16718</v>
      </c>
      <c r="G11" s="733">
        <f>6786+G7+G8+G9+G10</f>
        <v>21010</v>
      </c>
      <c r="H11" s="734">
        <f t="shared" si="1"/>
        <v>4095</v>
      </c>
      <c r="I11" s="735">
        <f t="shared" si="1"/>
        <v>715</v>
      </c>
      <c r="J11" s="733">
        <f t="shared" si="1"/>
        <v>1671</v>
      </c>
      <c r="K11" s="733">
        <f t="shared" si="1"/>
        <v>5029</v>
      </c>
      <c r="L11" s="733">
        <f t="shared" si="1"/>
        <v>17832</v>
      </c>
      <c r="M11" s="733">
        <f>7778+M7+M8+M9+M10</f>
        <v>22861</v>
      </c>
      <c r="N11" s="734">
        <f t="shared" si="1"/>
        <v>4335</v>
      </c>
    </row>
    <row r="12" spans="1:14" s="42" customFormat="1" ht="27" customHeight="1">
      <c r="A12" s="1905" t="s">
        <v>209</v>
      </c>
      <c r="B12" s="1118" t="s">
        <v>103</v>
      </c>
      <c r="C12" s="725">
        <v>343</v>
      </c>
      <c r="D12" s="725">
        <v>670</v>
      </c>
      <c r="E12" s="726">
        <v>3554</v>
      </c>
      <c r="F12" s="726">
        <v>5852</v>
      </c>
      <c r="G12" s="726">
        <f aca="true" t="shared" si="2" ref="G12:G17">SUM(E12:F12)</f>
        <v>9406</v>
      </c>
      <c r="H12" s="728">
        <v>3310</v>
      </c>
      <c r="I12" s="729">
        <v>321</v>
      </c>
      <c r="J12" s="725">
        <v>624</v>
      </c>
      <c r="K12" s="726">
        <v>3423</v>
      </c>
      <c r="L12" s="726">
        <v>5201</v>
      </c>
      <c r="M12" s="726">
        <f aca="true" t="shared" si="3" ref="M12:M17">SUM(K12:L12)</f>
        <v>8624</v>
      </c>
      <c r="N12" s="728">
        <v>3660</v>
      </c>
    </row>
    <row r="13" spans="1:14" s="42" customFormat="1" ht="27" customHeight="1">
      <c r="A13" s="1906"/>
      <c r="B13" s="1119" t="s">
        <v>104</v>
      </c>
      <c r="C13" s="730">
        <v>56</v>
      </c>
      <c r="D13" s="730">
        <v>127</v>
      </c>
      <c r="E13" s="727">
        <v>670</v>
      </c>
      <c r="F13" s="727">
        <v>1454</v>
      </c>
      <c r="G13" s="726">
        <f t="shared" si="2"/>
        <v>2124</v>
      </c>
      <c r="H13" s="731">
        <v>749</v>
      </c>
      <c r="I13" s="732">
        <v>42</v>
      </c>
      <c r="J13" s="730">
        <v>111</v>
      </c>
      <c r="K13" s="727">
        <v>575</v>
      </c>
      <c r="L13" s="727">
        <v>945</v>
      </c>
      <c r="M13" s="726">
        <f t="shared" si="3"/>
        <v>1520</v>
      </c>
      <c r="N13" s="731">
        <v>571</v>
      </c>
    </row>
    <row r="14" spans="1:14" s="42" customFormat="1" ht="27" customHeight="1">
      <c r="A14" s="1906"/>
      <c r="B14" s="1119" t="s">
        <v>105</v>
      </c>
      <c r="C14" s="730">
        <v>10</v>
      </c>
      <c r="D14" s="730">
        <v>30</v>
      </c>
      <c r="E14" s="727">
        <v>62</v>
      </c>
      <c r="F14" s="727">
        <v>363</v>
      </c>
      <c r="G14" s="726">
        <f t="shared" si="2"/>
        <v>425</v>
      </c>
      <c r="H14" s="731">
        <v>212</v>
      </c>
      <c r="I14" s="732">
        <v>10</v>
      </c>
      <c r="J14" s="730">
        <v>28</v>
      </c>
      <c r="K14" s="727">
        <v>70</v>
      </c>
      <c r="L14" s="727">
        <v>400</v>
      </c>
      <c r="M14" s="726">
        <f t="shared" si="3"/>
        <v>470</v>
      </c>
      <c r="N14" s="731">
        <v>485</v>
      </c>
    </row>
    <row r="15" spans="1:14" s="42" customFormat="1" ht="27" customHeight="1">
      <c r="A15" s="1906"/>
      <c r="B15" s="1119" t="s">
        <v>42</v>
      </c>
      <c r="C15" s="730">
        <v>8</v>
      </c>
      <c r="D15" s="730">
        <v>36</v>
      </c>
      <c r="E15" s="727">
        <v>48</v>
      </c>
      <c r="F15" s="727">
        <v>95</v>
      </c>
      <c r="G15" s="726">
        <f t="shared" si="2"/>
        <v>143</v>
      </c>
      <c r="H15" s="731">
        <v>180</v>
      </c>
      <c r="I15" s="732">
        <v>8</v>
      </c>
      <c r="J15" s="730">
        <v>36</v>
      </c>
      <c r="K15" s="727">
        <v>49</v>
      </c>
      <c r="L15" s="727">
        <v>86</v>
      </c>
      <c r="M15" s="726">
        <f t="shared" si="3"/>
        <v>135</v>
      </c>
      <c r="N15" s="731">
        <v>180</v>
      </c>
    </row>
    <row r="16" spans="1:14" s="42" customFormat="1" ht="27" customHeight="1">
      <c r="A16" s="1906"/>
      <c r="B16" s="1119" t="s">
        <v>108</v>
      </c>
      <c r="C16" s="730">
        <v>24</v>
      </c>
      <c r="D16" s="730">
        <v>60</v>
      </c>
      <c r="E16" s="727">
        <v>659</v>
      </c>
      <c r="F16" s="727">
        <v>811</v>
      </c>
      <c r="G16" s="726">
        <f t="shared" si="2"/>
        <v>1470</v>
      </c>
      <c r="H16" s="731">
        <v>1801</v>
      </c>
      <c r="I16" s="732">
        <v>24</v>
      </c>
      <c r="J16" s="730">
        <v>55</v>
      </c>
      <c r="K16" s="727">
        <v>620</v>
      </c>
      <c r="L16" s="727">
        <v>780</v>
      </c>
      <c r="M16" s="726">
        <f t="shared" si="3"/>
        <v>1400</v>
      </c>
      <c r="N16" s="731">
        <v>1812</v>
      </c>
    </row>
    <row r="17" spans="1:14" s="42" customFormat="1" ht="27" customHeight="1" thickBot="1">
      <c r="A17" s="1906"/>
      <c r="B17" s="1233" t="s">
        <v>109</v>
      </c>
      <c r="C17" s="1235">
        <v>8</v>
      </c>
      <c r="D17" s="1235">
        <v>32</v>
      </c>
      <c r="E17" s="1236">
        <v>64</v>
      </c>
      <c r="F17" s="1236">
        <v>202</v>
      </c>
      <c r="G17" s="1236">
        <f t="shared" si="2"/>
        <v>266</v>
      </c>
      <c r="H17" s="1237">
        <v>126</v>
      </c>
      <c r="I17" s="1239">
        <v>8</v>
      </c>
      <c r="J17" s="1235">
        <v>16</v>
      </c>
      <c r="K17" s="1236">
        <v>120</v>
      </c>
      <c r="L17" s="1236">
        <v>488</v>
      </c>
      <c r="M17" s="1236">
        <f t="shared" si="3"/>
        <v>608</v>
      </c>
      <c r="N17" s="1237">
        <v>132</v>
      </c>
    </row>
    <row r="18" spans="1:14" s="42" customFormat="1" ht="27" customHeight="1" thickBot="1" thickTop="1">
      <c r="A18" s="1907"/>
      <c r="B18" s="1062" t="s">
        <v>196</v>
      </c>
      <c r="C18" s="736">
        <f aca="true" t="shared" si="4" ref="C18:N18">SUM(C12:C17)</f>
        <v>449</v>
      </c>
      <c r="D18" s="736">
        <f>SUM(D12:D17)</f>
        <v>955</v>
      </c>
      <c r="E18" s="737">
        <f t="shared" si="4"/>
        <v>5057</v>
      </c>
      <c r="F18" s="737">
        <f t="shared" si="4"/>
        <v>8777</v>
      </c>
      <c r="G18" s="737">
        <f t="shared" si="4"/>
        <v>13834</v>
      </c>
      <c r="H18" s="738">
        <f t="shared" si="4"/>
        <v>6378</v>
      </c>
      <c r="I18" s="739">
        <f t="shared" si="4"/>
        <v>413</v>
      </c>
      <c r="J18" s="736">
        <f t="shared" si="4"/>
        <v>870</v>
      </c>
      <c r="K18" s="737">
        <f t="shared" si="4"/>
        <v>4857</v>
      </c>
      <c r="L18" s="737">
        <f t="shared" si="4"/>
        <v>7900</v>
      </c>
      <c r="M18" s="737">
        <f t="shared" si="4"/>
        <v>12757</v>
      </c>
      <c r="N18" s="738">
        <f t="shared" si="4"/>
        <v>6840</v>
      </c>
    </row>
    <row r="19" spans="1:14" s="42" customFormat="1" ht="27" customHeight="1">
      <c r="A19" s="1908" t="s">
        <v>206</v>
      </c>
      <c r="B19" s="1120" t="s">
        <v>111</v>
      </c>
      <c r="C19" s="725">
        <v>53</v>
      </c>
      <c r="D19" s="725">
        <v>193</v>
      </c>
      <c r="E19" s="726">
        <v>642</v>
      </c>
      <c r="F19" s="726">
        <v>1030</v>
      </c>
      <c r="G19" s="726">
        <f aca="true" t="shared" si="5" ref="G19:G27">SUM(E19:F19)</f>
        <v>1672</v>
      </c>
      <c r="H19" s="728">
        <v>600</v>
      </c>
      <c r="I19" s="729">
        <v>52</v>
      </c>
      <c r="J19" s="725">
        <v>135</v>
      </c>
      <c r="K19" s="726">
        <v>729</v>
      </c>
      <c r="L19" s="726">
        <v>947</v>
      </c>
      <c r="M19" s="726">
        <f aca="true" t="shared" si="6" ref="M19:M27">SUM(K19:L19)</f>
        <v>1676</v>
      </c>
      <c r="N19" s="728">
        <v>500</v>
      </c>
    </row>
    <row r="20" spans="1:14" s="42" customFormat="1" ht="27" customHeight="1">
      <c r="A20" s="1909"/>
      <c r="B20" s="1119" t="s">
        <v>112</v>
      </c>
      <c r="C20" s="730">
        <v>148</v>
      </c>
      <c r="D20" s="730">
        <v>467</v>
      </c>
      <c r="E20" s="727">
        <v>1279</v>
      </c>
      <c r="F20" s="727">
        <v>2013</v>
      </c>
      <c r="G20" s="726">
        <f t="shared" si="5"/>
        <v>3292</v>
      </c>
      <c r="H20" s="731">
        <v>2285</v>
      </c>
      <c r="I20" s="732">
        <v>165</v>
      </c>
      <c r="J20" s="730">
        <v>491</v>
      </c>
      <c r="K20" s="727">
        <v>1745</v>
      </c>
      <c r="L20" s="727">
        <v>2538</v>
      </c>
      <c r="M20" s="726">
        <f t="shared" si="6"/>
        <v>4283</v>
      </c>
      <c r="N20" s="731">
        <v>2831</v>
      </c>
    </row>
    <row r="21" spans="1:14" s="42" customFormat="1" ht="27" customHeight="1">
      <c r="A21" s="1909"/>
      <c r="B21" s="1119" t="s">
        <v>113</v>
      </c>
      <c r="C21" s="730">
        <v>115</v>
      </c>
      <c r="D21" s="730">
        <v>261</v>
      </c>
      <c r="E21" s="727">
        <v>771</v>
      </c>
      <c r="F21" s="727">
        <v>1537</v>
      </c>
      <c r="G21" s="726">
        <f t="shared" si="5"/>
        <v>2308</v>
      </c>
      <c r="H21" s="731">
        <v>403</v>
      </c>
      <c r="I21" s="732">
        <v>100</v>
      </c>
      <c r="J21" s="730">
        <v>180</v>
      </c>
      <c r="K21" s="727">
        <v>838</v>
      </c>
      <c r="L21" s="727">
        <v>1391</v>
      </c>
      <c r="M21" s="726">
        <f t="shared" si="6"/>
        <v>2229</v>
      </c>
      <c r="N21" s="731">
        <v>342</v>
      </c>
    </row>
    <row r="22" spans="1:14" s="42" customFormat="1" ht="27" customHeight="1">
      <c r="A22" s="1909"/>
      <c r="B22" s="1119" t="s">
        <v>115</v>
      </c>
      <c r="C22" s="730">
        <v>26</v>
      </c>
      <c r="D22" s="730">
        <v>76</v>
      </c>
      <c r="E22" s="727">
        <v>696</v>
      </c>
      <c r="F22" s="727">
        <v>873</v>
      </c>
      <c r="G22" s="726">
        <f t="shared" si="5"/>
        <v>1569</v>
      </c>
      <c r="H22" s="731">
        <v>953</v>
      </c>
      <c r="I22" s="732">
        <v>27</v>
      </c>
      <c r="J22" s="730">
        <v>77</v>
      </c>
      <c r="K22" s="727">
        <v>695</v>
      </c>
      <c r="L22" s="727">
        <v>920</v>
      </c>
      <c r="M22" s="726">
        <f t="shared" si="6"/>
        <v>1615</v>
      </c>
      <c r="N22" s="731">
        <v>1196</v>
      </c>
    </row>
    <row r="23" spans="1:14" s="42" customFormat="1" ht="27" customHeight="1">
      <c r="A23" s="1909"/>
      <c r="B23" s="1121" t="s">
        <v>116</v>
      </c>
      <c r="C23" s="730">
        <v>28</v>
      </c>
      <c r="D23" s="730">
        <v>52</v>
      </c>
      <c r="E23" s="727">
        <v>279</v>
      </c>
      <c r="F23" s="727">
        <v>341</v>
      </c>
      <c r="G23" s="727">
        <f t="shared" si="5"/>
        <v>620</v>
      </c>
      <c r="H23" s="731">
        <v>97</v>
      </c>
      <c r="I23" s="732">
        <v>32</v>
      </c>
      <c r="J23" s="730">
        <v>61</v>
      </c>
      <c r="K23" s="727">
        <v>300</v>
      </c>
      <c r="L23" s="727">
        <v>348</v>
      </c>
      <c r="M23" s="727">
        <f t="shared" si="6"/>
        <v>648</v>
      </c>
      <c r="N23" s="731">
        <v>138</v>
      </c>
    </row>
    <row r="24" spans="1:14" s="42" customFormat="1" ht="27" customHeight="1">
      <c r="A24" s="1909"/>
      <c r="B24" s="1093" t="s">
        <v>117</v>
      </c>
      <c r="C24" s="725">
        <v>29</v>
      </c>
      <c r="D24" s="725">
        <v>51</v>
      </c>
      <c r="E24" s="726">
        <v>345</v>
      </c>
      <c r="F24" s="726">
        <v>520</v>
      </c>
      <c r="G24" s="726">
        <f t="shared" si="5"/>
        <v>865</v>
      </c>
      <c r="H24" s="728">
        <v>0</v>
      </c>
      <c r="I24" s="729">
        <v>37</v>
      </c>
      <c r="J24" s="725">
        <v>68</v>
      </c>
      <c r="K24" s="726">
        <v>510</v>
      </c>
      <c r="L24" s="726">
        <v>495</v>
      </c>
      <c r="M24" s="726">
        <f t="shared" si="6"/>
        <v>1005</v>
      </c>
      <c r="N24" s="728">
        <v>79</v>
      </c>
    </row>
    <row r="25" spans="1:14" s="42" customFormat="1" ht="27" customHeight="1">
      <c r="A25" s="1909"/>
      <c r="B25" s="1119" t="s">
        <v>54</v>
      </c>
      <c r="C25" s="884" t="s">
        <v>795</v>
      </c>
      <c r="D25" s="730"/>
      <c r="E25" s="727"/>
      <c r="F25" s="727"/>
      <c r="G25" s="726">
        <f t="shared" si="5"/>
        <v>0</v>
      </c>
      <c r="H25" s="731"/>
      <c r="I25" s="885" t="s">
        <v>795</v>
      </c>
      <c r="J25" s="730"/>
      <c r="K25" s="727"/>
      <c r="L25" s="727"/>
      <c r="M25" s="726">
        <f t="shared" si="6"/>
        <v>0</v>
      </c>
      <c r="N25" s="731"/>
    </row>
    <row r="26" spans="1:14" s="42" customFormat="1" ht="27" customHeight="1">
      <c r="A26" s="1909"/>
      <c r="B26" s="1119" t="s">
        <v>118</v>
      </c>
      <c r="C26" s="730">
        <v>47</v>
      </c>
      <c r="D26" s="730">
        <v>144</v>
      </c>
      <c r="E26" s="727">
        <v>187</v>
      </c>
      <c r="F26" s="727">
        <v>204</v>
      </c>
      <c r="G26" s="726">
        <f t="shared" si="5"/>
        <v>391</v>
      </c>
      <c r="H26" s="731">
        <v>35</v>
      </c>
      <c r="I26" s="732">
        <v>47</v>
      </c>
      <c r="J26" s="730">
        <v>144</v>
      </c>
      <c r="K26" s="727">
        <v>201</v>
      </c>
      <c r="L26" s="727">
        <v>205</v>
      </c>
      <c r="M26" s="726">
        <f>SUM(K26:L26)</f>
        <v>406</v>
      </c>
      <c r="N26" s="731">
        <v>32</v>
      </c>
    </row>
    <row r="27" spans="1:14" s="42" customFormat="1" ht="27" customHeight="1" thickBot="1">
      <c r="A27" s="1909"/>
      <c r="B27" s="1233" t="s">
        <v>120</v>
      </c>
      <c r="C27" s="1235">
        <v>20</v>
      </c>
      <c r="D27" s="1235">
        <v>43</v>
      </c>
      <c r="E27" s="1236">
        <v>98</v>
      </c>
      <c r="F27" s="1236">
        <v>204</v>
      </c>
      <c r="G27" s="1236">
        <f t="shared" si="5"/>
        <v>302</v>
      </c>
      <c r="H27" s="1237">
        <v>149</v>
      </c>
      <c r="I27" s="1239">
        <v>19</v>
      </c>
      <c r="J27" s="1235">
        <v>41</v>
      </c>
      <c r="K27" s="1236">
        <v>100</v>
      </c>
      <c r="L27" s="1236">
        <v>180</v>
      </c>
      <c r="M27" s="1236">
        <f t="shared" si="6"/>
        <v>280</v>
      </c>
      <c r="N27" s="1237">
        <v>140</v>
      </c>
    </row>
    <row r="28" spans="1:14" s="42" customFormat="1" ht="27" customHeight="1" thickBot="1" thickTop="1">
      <c r="A28" s="1910"/>
      <c r="B28" s="1062" t="s">
        <v>196</v>
      </c>
      <c r="C28" s="736">
        <f aca="true" t="shared" si="7" ref="C28:N28">SUM(C19:C27)</f>
        <v>466</v>
      </c>
      <c r="D28" s="736">
        <f>SUM(D19:D27)</f>
        <v>1287</v>
      </c>
      <c r="E28" s="736">
        <f t="shared" si="7"/>
        <v>4297</v>
      </c>
      <c r="F28" s="736">
        <f t="shared" si="7"/>
        <v>6722</v>
      </c>
      <c r="G28" s="736">
        <f t="shared" si="7"/>
        <v>11019</v>
      </c>
      <c r="H28" s="738">
        <f t="shared" si="7"/>
        <v>4522</v>
      </c>
      <c r="I28" s="739">
        <f t="shared" si="7"/>
        <v>479</v>
      </c>
      <c r="J28" s="736">
        <f t="shared" si="7"/>
        <v>1197</v>
      </c>
      <c r="K28" s="736">
        <f t="shared" si="7"/>
        <v>5118</v>
      </c>
      <c r="L28" s="736">
        <f t="shared" si="7"/>
        <v>7024</v>
      </c>
      <c r="M28" s="736">
        <f t="shared" si="7"/>
        <v>12142</v>
      </c>
      <c r="N28" s="738">
        <f t="shared" si="7"/>
        <v>5258</v>
      </c>
    </row>
    <row r="29" ht="13.5">
      <c r="C29" s="7" t="s">
        <v>942</v>
      </c>
    </row>
  </sheetData>
  <sheetProtection/>
  <mergeCells count="11">
    <mergeCell ref="C1:H1"/>
    <mergeCell ref="I1:N1"/>
    <mergeCell ref="C2:H2"/>
    <mergeCell ref="I2:N2"/>
    <mergeCell ref="E3:G3"/>
    <mergeCell ref="A12:A18"/>
    <mergeCell ref="A19:A28"/>
    <mergeCell ref="K3:M3"/>
    <mergeCell ref="A5:B5"/>
    <mergeCell ref="A6:A11"/>
    <mergeCell ref="A1:B4"/>
  </mergeCells>
  <printOptions/>
  <pageMargins left="0.7086614173228347" right="0.1968503937007874" top="0.8661417322834646" bottom="0.1968503937007874" header="0.5905511811023623" footer="0.3937007874015748"/>
  <pageSetup firstPageNumber="25" useFirstPageNumber="1" horizontalDpi="600" verticalDpi="600" orientation="portrait" paperSize="9" r:id="rId1"/>
  <headerFooter scaleWithDoc="0" alignWithMargins="0">
    <oddHeader>&amp;L&amp;"ＭＳ Ｐゴシック,太字"12　高齢者を対象とした学級・講座開設状況</oddHeader>
    <oddFooter>&amp;C&amp;12&amp;P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0"/>
  <sheetViews>
    <sheetView view="pageBreakPreview" zoomScale="110" zoomScaleNormal="105" zoomScaleSheetLayoutView="110" zoomScalePageLayoutView="0" workbookViewId="0" topLeftCell="A1">
      <pane xSplit="3" ySplit="4" topLeftCell="D5" activePane="bottomRight" state="frozen"/>
      <selection pane="topLeft" activeCell="N6" sqref="N6"/>
      <selection pane="topRight" activeCell="N6" sqref="N6"/>
      <selection pane="bottomLeft" activeCell="N6" sqref="N6"/>
      <selection pane="bottomRight" activeCell="N6" sqref="N6"/>
    </sheetView>
  </sheetViews>
  <sheetFormatPr defaultColWidth="7.375" defaultRowHeight="15" customHeight="1"/>
  <cols>
    <col min="1" max="1" width="4.50390625" style="99" customWidth="1"/>
    <col min="2" max="3" width="7.375" style="99" customWidth="1"/>
    <col min="4" max="16384" width="7.375" style="97" customWidth="1"/>
  </cols>
  <sheetData>
    <row r="1" spans="1:22" ht="0.75" customHeight="1" thickBot="1">
      <c r="A1" s="95" t="s">
        <v>267</v>
      </c>
      <c r="B1" s="96"/>
      <c r="C1" s="96"/>
      <c r="N1" s="1937"/>
      <c r="O1" s="1937"/>
      <c r="P1" s="1937"/>
      <c r="Q1" s="1937"/>
      <c r="R1" s="1937"/>
      <c r="S1" s="1937"/>
      <c r="T1" s="1937"/>
      <c r="U1" s="1937"/>
      <c r="V1" s="1937"/>
    </row>
    <row r="2" spans="1:23" ht="17.25" customHeight="1">
      <c r="A2" s="294"/>
      <c r="B2" s="295" t="s">
        <v>598</v>
      </c>
      <c r="C2" s="296" t="s">
        <v>268</v>
      </c>
      <c r="D2" s="1938" t="s">
        <v>938</v>
      </c>
      <c r="E2" s="1939"/>
      <c r="F2" s="1939"/>
      <c r="G2" s="1939"/>
      <c r="H2" s="1939"/>
      <c r="I2" s="1939"/>
      <c r="J2" s="1939"/>
      <c r="K2" s="1939"/>
      <c r="L2" s="1939"/>
      <c r="M2" s="1940"/>
      <c r="N2" s="1938" t="s">
        <v>932</v>
      </c>
      <c r="O2" s="1939"/>
      <c r="P2" s="1939"/>
      <c r="Q2" s="1939"/>
      <c r="R2" s="1939"/>
      <c r="S2" s="1939"/>
      <c r="T2" s="1939"/>
      <c r="U2" s="1939"/>
      <c r="V2" s="1939"/>
      <c r="W2" s="1940"/>
    </row>
    <row r="3" spans="1:23" ht="28.5" customHeight="1">
      <c r="A3" s="297"/>
      <c r="B3" s="298"/>
      <c r="C3" s="299"/>
      <c r="D3" s="1941" t="s">
        <v>269</v>
      </c>
      <c r="E3" s="1942"/>
      <c r="F3" s="1928" t="s">
        <v>270</v>
      </c>
      <c r="G3" s="1929"/>
      <c r="H3" s="1928" t="s">
        <v>271</v>
      </c>
      <c r="I3" s="1929"/>
      <c r="J3" s="1928" t="s">
        <v>272</v>
      </c>
      <c r="K3" s="1929"/>
      <c r="L3" s="1928" t="s">
        <v>273</v>
      </c>
      <c r="M3" s="1930"/>
      <c r="N3" s="1943" t="s">
        <v>269</v>
      </c>
      <c r="O3" s="1942"/>
      <c r="P3" s="1928" t="s">
        <v>270</v>
      </c>
      <c r="Q3" s="1929"/>
      <c r="R3" s="1928" t="s">
        <v>271</v>
      </c>
      <c r="S3" s="1929"/>
      <c r="T3" s="1928" t="s">
        <v>272</v>
      </c>
      <c r="U3" s="1929"/>
      <c r="V3" s="1928" t="s">
        <v>273</v>
      </c>
      <c r="W3" s="1930"/>
    </row>
    <row r="4" spans="1:30" ht="27.75" customHeight="1" thickBot="1">
      <c r="A4" s="300" t="s">
        <v>274</v>
      </c>
      <c r="B4" s="301"/>
      <c r="C4" s="302"/>
      <c r="D4" s="303" t="s">
        <v>275</v>
      </c>
      <c r="E4" s="304" t="s">
        <v>276</v>
      </c>
      <c r="F4" s="303" t="s">
        <v>275</v>
      </c>
      <c r="G4" s="304" t="s">
        <v>276</v>
      </c>
      <c r="H4" s="303" t="s">
        <v>275</v>
      </c>
      <c r="I4" s="304" t="s">
        <v>276</v>
      </c>
      <c r="J4" s="303" t="s">
        <v>277</v>
      </c>
      <c r="K4" s="304" t="s">
        <v>276</v>
      </c>
      <c r="L4" s="303" t="s">
        <v>275</v>
      </c>
      <c r="M4" s="305" t="s">
        <v>276</v>
      </c>
      <c r="N4" s="306" t="s">
        <v>275</v>
      </c>
      <c r="O4" s="304" t="s">
        <v>276</v>
      </c>
      <c r="P4" s="303" t="s">
        <v>275</v>
      </c>
      <c r="Q4" s="304" t="s">
        <v>276</v>
      </c>
      <c r="R4" s="303" t="s">
        <v>275</v>
      </c>
      <c r="S4" s="304" t="s">
        <v>276</v>
      </c>
      <c r="T4" s="303" t="s">
        <v>277</v>
      </c>
      <c r="U4" s="304" t="s">
        <v>276</v>
      </c>
      <c r="V4" s="303" t="s">
        <v>275</v>
      </c>
      <c r="W4" s="305" t="s">
        <v>276</v>
      </c>
      <c r="X4" s="98"/>
      <c r="Y4" s="98"/>
      <c r="Z4" s="98"/>
      <c r="AA4" s="98"/>
      <c r="AB4" s="98"/>
      <c r="AC4" s="98"/>
      <c r="AD4" s="98"/>
    </row>
    <row r="5" spans="1:30" ht="27.75" customHeight="1" thickBot="1">
      <c r="A5" s="1931" t="s">
        <v>230</v>
      </c>
      <c r="B5" s="1932"/>
      <c r="C5" s="1933"/>
      <c r="D5" s="307">
        <f aca="true" t="shared" si="0" ref="D5:W5">SUM(D11,D18,D28)</f>
        <v>183</v>
      </c>
      <c r="E5" s="308">
        <f t="shared" si="0"/>
        <v>33955</v>
      </c>
      <c r="F5" s="308">
        <f t="shared" si="0"/>
        <v>217</v>
      </c>
      <c r="G5" s="308">
        <f t="shared" si="0"/>
        <v>39286</v>
      </c>
      <c r="H5" s="308">
        <f t="shared" si="0"/>
        <v>120</v>
      </c>
      <c r="I5" s="308">
        <f t="shared" si="0"/>
        <v>22564</v>
      </c>
      <c r="J5" s="436">
        <f t="shared" si="0"/>
        <v>198</v>
      </c>
      <c r="K5" s="436">
        <f t="shared" si="0"/>
        <v>60638</v>
      </c>
      <c r="L5" s="436">
        <f t="shared" si="0"/>
        <v>718</v>
      </c>
      <c r="M5" s="437">
        <f t="shared" si="0"/>
        <v>156443</v>
      </c>
      <c r="N5" s="307">
        <f t="shared" si="0"/>
        <v>168</v>
      </c>
      <c r="O5" s="308">
        <f t="shared" si="0"/>
        <v>32261</v>
      </c>
      <c r="P5" s="308">
        <f t="shared" si="0"/>
        <v>204</v>
      </c>
      <c r="Q5" s="308">
        <f t="shared" si="0"/>
        <v>39265</v>
      </c>
      <c r="R5" s="308">
        <f t="shared" si="0"/>
        <v>122</v>
      </c>
      <c r="S5" s="308">
        <f t="shared" si="0"/>
        <v>15437</v>
      </c>
      <c r="T5" s="436">
        <f t="shared" si="0"/>
        <v>204</v>
      </c>
      <c r="U5" s="436">
        <f t="shared" si="0"/>
        <v>49424</v>
      </c>
      <c r="V5" s="436">
        <f t="shared" si="0"/>
        <v>698</v>
      </c>
      <c r="W5" s="437">
        <f t="shared" si="0"/>
        <v>136387</v>
      </c>
      <c r="X5" s="98"/>
      <c r="Y5" s="98"/>
      <c r="Z5" s="98"/>
      <c r="AA5" s="98"/>
      <c r="AB5" s="98"/>
      <c r="AC5" s="98"/>
      <c r="AD5" s="98"/>
    </row>
    <row r="6" spans="1:23" ht="27.75" customHeight="1">
      <c r="A6" s="1934" t="s">
        <v>144</v>
      </c>
      <c r="B6" s="1371" t="s">
        <v>260</v>
      </c>
      <c r="C6" s="1372"/>
      <c r="D6" s="551">
        <v>12</v>
      </c>
      <c r="E6" s="553">
        <v>1807</v>
      </c>
      <c r="F6" s="553">
        <v>16</v>
      </c>
      <c r="G6" s="553">
        <v>5759</v>
      </c>
      <c r="H6" s="553">
        <v>2</v>
      </c>
      <c r="I6" s="553">
        <v>2841</v>
      </c>
      <c r="J6" s="553">
        <v>51</v>
      </c>
      <c r="K6" s="553">
        <v>36313</v>
      </c>
      <c r="L6" s="552">
        <f aca="true" t="shared" si="1" ref="L6:M10">SUM(D6,F6,H6,J6,)</f>
        <v>81</v>
      </c>
      <c r="M6" s="554">
        <f t="shared" si="1"/>
        <v>46720</v>
      </c>
      <c r="N6" s="551">
        <v>13</v>
      </c>
      <c r="O6" s="553">
        <v>1580</v>
      </c>
      <c r="P6" s="553">
        <v>19</v>
      </c>
      <c r="Q6" s="553">
        <v>4955</v>
      </c>
      <c r="R6" s="553">
        <v>3</v>
      </c>
      <c r="S6" s="553">
        <v>1600</v>
      </c>
      <c r="T6" s="553">
        <v>65</v>
      </c>
      <c r="U6" s="553">
        <v>22310</v>
      </c>
      <c r="V6" s="552">
        <f aca="true" t="shared" si="2" ref="V6:W10">SUM(N6,P6,R6,T6,)</f>
        <v>100</v>
      </c>
      <c r="W6" s="554">
        <f t="shared" si="2"/>
        <v>30445</v>
      </c>
    </row>
    <row r="7" spans="1:23" ht="27.75" customHeight="1">
      <c r="A7" s="1935"/>
      <c r="B7" s="1923" t="s">
        <v>97</v>
      </c>
      <c r="C7" s="1924"/>
      <c r="D7" s="631">
        <v>1</v>
      </c>
      <c r="E7" s="632">
        <v>368</v>
      </c>
      <c r="F7" s="632">
        <v>1</v>
      </c>
      <c r="G7" s="632">
        <v>128</v>
      </c>
      <c r="H7" s="632">
        <v>1</v>
      </c>
      <c r="I7" s="632">
        <v>476</v>
      </c>
      <c r="J7" s="632">
        <v>2</v>
      </c>
      <c r="K7" s="632">
        <v>873</v>
      </c>
      <c r="L7" s="574">
        <f t="shared" si="1"/>
        <v>5</v>
      </c>
      <c r="M7" s="633">
        <f t="shared" si="1"/>
        <v>1845</v>
      </c>
      <c r="N7" s="631">
        <v>1</v>
      </c>
      <c r="O7" s="632">
        <v>1070</v>
      </c>
      <c r="P7" s="632">
        <v>1</v>
      </c>
      <c r="Q7" s="632">
        <v>120</v>
      </c>
      <c r="R7" s="632">
        <v>1</v>
      </c>
      <c r="S7" s="632">
        <v>390</v>
      </c>
      <c r="T7" s="632">
        <v>2</v>
      </c>
      <c r="U7" s="632">
        <v>1150</v>
      </c>
      <c r="V7" s="574">
        <f t="shared" si="2"/>
        <v>5</v>
      </c>
      <c r="W7" s="633">
        <f t="shared" si="2"/>
        <v>2730</v>
      </c>
    </row>
    <row r="8" spans="1:23" ht="27.75" customHeight="1">
      <c r="A8" s="1935"/>
      <c r="B8" s="1923" t="s">
        <v>261</v>
      </c>
      <c r="C8" s="1924"/>
      <c r="D8" s="631">
        <v>22</v>
      </c>
      <c r="E8" s="632">
        <v>6702</v>
      </c>
      <c r="F8" s="632">
        <v>23</v>
      </c>
      <c r="G8" s="632">
        <v>5035</v>
      </c>
      <c r="H8" s="632">
        <v>8</v>
      </c>
      <c r="I8" s="632">
        <v>688</v>
      </c>
      <c r="J8" s="632">
        <v>17</v>
      </c>
      <c r="K8" s="632">
        <v>6179</v>
      </c>
      <c r="L8" s="574">
        <f t="shared" si="1"/>
        <v>70</v>
      </c>
      <c r="M8" s="633">
        <f t="shared" si="1"/>
        <v>18604</v>
      </c>
      <c r="N8" s="551">
        <v>24</v>
      </c>
      <c r="O8" s="553">
        <v>6378</v>
      </c>
      <c r="P8" s="553">
        <v>26</v>
      </c>
      <c r="Q8" s="553">
        <v>6106</v>
      </c>
      <c r="R8" s="553">
        <v>8</v>
      </c>
      <c r="S8" s="553">
        <v>649</v>
      </c>
      <c r="T8" s="553">
        <v>18</v>
      </c>
      <c r="U8" s="553">
        <v>7374</v>
      </c>
      <c r="V8" s="574">
        <f t="shared" si="2"/>
        <v>76</v>
      </c>
      <c r="W8" s="633">
        <f t="shared" si="2"/>
        <v>20507</v>
      </c>
    </row>
    <row r="9" spans="1:23" ht="27.75" customHeight="1">
      <c r="A9" s="1935"/>
      <c r="B9" s="1371" t="s">
        <v>21</v>
      </c>
      <c r="C9" s="1372"/>
      <c r="D9" s="551">
        <v>12</v>
      </c>
      <c r="E9" s="553">
        <v>3536</v>
      </c>
      <c r="F9" s="553">
        <v>18</v>
      </c>
      <c r="G9" s="553">
        <v>3858</v>
      </c>
      <c r="H9" s="553">
        <v>7</v>
      </c>
      <c r="I9" s="553">
        <v>4013</v>
      </c>
      <c r="J9" s="553">
        <v>11</v>
      </c>
      <c r="K9" s="553">
        <v>3630</v>
      </c>
      <c r="L9" s="574">
        <f t="shared" si="1"/>
        <v>48</v>
      </c>
      <c r="M9" s="554">
        <f t="shared" si="1"/>
        <v>15037</v>
      </c>
      <c r="N9" s="551">
        <v>11</v>
      </c>
      <c r="O9" s="553">
        <v>3470</v>
      </c>
      <c r="P9" s="553">
        <v>18</v>
      </c>
      <c r="Q9" s="553">
        <v>5045</v>
      </c>
      <c r="R9" s="553">
        <v>8</v>
      </c>
      <c r="S9" s="553">
        <v>1333</v>
      </c>
      <c r="T9" s="553">
        <v>11</v>
      </c>
      <c r="U9" s="553">
        <v>3184</v>
      </c>
      <c r="V9" s="574">
        <f t="shared" si="2"/>
        <v>48</v>
      </c>
      <c r="W9" s="554">
        <f t="shared" si="2"/>
        <v>13032</v>
      </c>
    </row>
    <row r="10" spans="1:23" ht="27.75" customHeight="1" thickBot="1">
      <c r="A10" s="1935"/>
      <c r="B10" s="1389" t="s">
        <v>278</v>
      </c>
      <c r="C10" s="1390"/>
      <c r="D10" s="1244">
        <v>3</v>
      </c>
      <c r="E10" s="1245">
        <v>143</v>
      </c>
      <c r="F10" s="1245">
        <v>2</v>
      </c>
      <c r="G10" s="1245">
        <v>25</v>
      </c>
      <c r="H10" s="1245"/>
      <c r="I10" s="1245"/>
      <c r="J10" s="1245">
        <v>1</v>
      </c>
      <c r="K10" s="1245">
        <v>80</v>
      </c>
      <c r="L10" s="1245">
        <f t="shared" si="1"/>
        <v>6</v>
      </c>
      <c r="M10" s="1246">
        <f t="shared" si="1"/>
        <v>248</v>
      </c>
      <c r="N10" s="1244">
        <v>2</v>
      </c>
      <c r="O10" s="1245">
        <v>80</v>
      </c>
      <c r="P10" s="1245">
        <v>2</v>
      </c>
      <c r="Q10" s="1245">
        <v>25</v>
      </c>
      <c r="R10" s="1245"/>
      <c r="S10" s="1245"/>
      <c r="T10" s="1245">
        <v>1</v>
      </c>
      <c r="U10" s="1245">
        <v>100</v>
      </c>
      <c r="V10" s="1245">
        <f t="shared" si="2"/>
        <v>5</v>
      </c>
      <c r="W10" s="1246">
        <f t="shared" si="2"/>
        <v>205</v>
      </c>
    </row>
    <row r="11" spans="1:23" ht="27.75" customHeight="1" thickBot="1" thickTop="1">
      <c r="A11" s="1936"/>
      <c r="B11" s="1862" t="s">
        <v>20</v>
      </c>
      <c r="C11" s="1863"/>
      <c r="D11" s="1240">
        <f aca="true" t="shared" si="3" ref="D11:W11">SUM(D6:D10)</f>
        <v>50</v>
      </c>
      <c r="E11" s="1241">
        <f t="shared" si="3"/>
        <v>12556</v>
      </c>
      <c r="F11" s="1241">
        <f t="shared" si="3"/>
        <v>60</v>
      </c>
      <c r="G11" s="1241">
        <f t="shared" si="3"/>
        <v>14805</v>
      </c>
      <c r="H11" s="1241">
        <f t="shared" si="3"/>
        <v>18</v>
      </c>
      <c r="I11" s="1241">
        <f t="shared" si="3"/>
        <v>8018</v>
      </c>
      <c r="J11" s="1242">
        <f t="shared" si="3"/>
        <v>82</v>
      </c>
      <c r="K11" s="1242">
        <f t="shared" si="3"/>
        <v>47075</v>
      </c>
      <c r="L11" s="1242">
        <f t="shared" si="3"/>
        <v>210</v>
      </c>
      <c r="M11" s="1243">
        <f t="shared" si="3"/>
        <v>82454</v>
      </c>
      <c r="N11" s="1240">
        <f t="shared" si="3"/>
        <v>51</v>
      </c>
      <c r="O11" s="1241">
        <f t="shared" si="3"/>
        <v>12578</v>
      </c>
      <c r="P11" s="1241">
        <f t="shared" si="3"/>
        <v>66</v>
      </c>
      <c r="Q11" s="1241">
        <f t="shared" si="3"/>
        <v>16251</v>
      </c>
      <c r="R11" s="1241">
        <f t="shared" si="3"/>
        <v>20</v>
      </c>
      <c r="S11" s="1241">
        <f t="shared" si="3"/>
        <v>3972</v>
      </c>
      <c r="T11" s="1242">
        <f t="shared" si="3"/>
        <v>97</v>
      </c>
      <c r="U11" s="1242">
        <f t="shared" si="3"/>
        <v>34118</v>
      </c>
      <c r="V11" s="1242">
        <f t="shared" si="3"/>
        <v>234</v>
      </c>
      <c r="W11" s="1243">
        <f t="shared" si="3"/>
        <v>66919</v>
      </c>
    </row>
    <row r="12" spans="1:23" ht="27.75" customHeight="1">
      <c r="A12" s="1925" t="s">
        <v>197</v>
      </c>
      <c r="B12" s="1369" t="s">
        <v>22</v>
      </c>
      <c r="C12" s="1370"/>
      <c r="D12" s="615">
        <v>61</v>
      </c>
      <c r="E12" s="616">
        <v>12175</v>
      </c>
      <c r="F12" s="616">
        <v>46</v>
      </c>
      <c r="G12" s="616">
        <v>13891</v>
      </c>
      <c r="H12" s="616">
        <v>35</v>
      </c>
      <c r="I12" s="616">
        <v>10755</v>
      </c>
      <c r="J12" s="616">
        <v>26</v>
      </c>
      <c r="K12" s="616">
        <v>4174</v>
      </c>
      <c r="L12" s="652">
        <f>D12+F12+H12+J12</f>
        <v>168</v>
      </c>
      <c r="M12" s="653">
        <f>E12+G12+I12+K12</f>
        <v>40995</v>
      </c>
      <c r="N12" s="615">
        <v>47</v>
      </c>
      <c r="O12" s="616">
        <v>10306</v>
      </c>
      <c r="P12" s="616">
        <v>40</v>
      </c>
      <c r="Q12" s="616">
        <v>13235</v>
      </c>
      <c r="R12" s="616">
        <v>29</v>
      </c>
      <c r="S12" s="616">
        <v>7610</v>
      </c>
      <c r="T12" s="616">
        <v>25</v>
      </c>
      <c r="U12" s="616">
        <v>3630</v>
      </c>
      <c r="V12" s="652">
        <f>N12+P12+R12+T12</f>
        <v>141</v>
      </c>
      <c r="W12" s="653">
        <f>O12+Q12+S12+U12</f>
        <v>34781</v>
      </c>
    </row>
    <row r="13" spans="1:23" ht="27.75" customHeight="1">
      <c r="A13" s="1926"/>
      <c r="B13" s="1371" t="s">
        <v>23</v>
      </c>
      <c r="C13" s="1372"/>
      <c r="D13" s="551">
        <v>1</v>
      </c>
      <c r="E13" s="553">
        <v>40</v>
      </c>
      <c r="F13" s="553">
        <v>3</v>
      </c>
      <c r="G13" s="553">
        <v>128</v>
      </c>
      <c r="H13" s="553">
        <v>2</v>
      </c>
      <c r="I13" s="553">
        <v>457</v>
      </c>
      <c r="J13" s="553">
        <v>4</v>
      </c>
      <c r="K13" s="553">
        <v>900</v>
      </c>
      <c r="L13" s="552">
        <f aca="true" t="shared" si="4" ref="L13:M17">D13+F13+H13+J13</f>
        <v>10</v>
      </c>
      <c r="M13" s="554">
        <f t="shared" si="4"/>
        <v>1525</v>
      </c>
      <c r="N13" s="551">
        <v>1</v>
      </c>
      <c r="O13" s="553">
        <v>50</v>
      </c>
      <c r="P13" s="553"/>
      <c r="Q13" s="553"/>
      <c r="R13" s="553">
        <v>2</v>
      </c>
      <c r="S13" s="553">
        <v>490</v>
      </c>
      <c r="T13" s="553">
        <v>5</v>
      </c>
      <c r="U13" s="553">
        <v>1313</v>
      </c>
      <c r="V13" s="552">
        <f aca="true" t="shared" si="5" ref="V13:W17">N13+P13+R13+T13</f>
        <v>8</v>
      </c>
      <c r="W13" s="554">
        <f t="shared" si="5"/>
        <v>1853</v>
      </c>
    </row>
    <row r="14" spans="1:23" ht="27.75" customHeight="1">
      <c r="A14" s="1926"/>
      <c r="B14" s="1371" t="s">
        <v>105</v>
      </c>
      <c r="C14" s="1372"/>
      <c r="D14" s="551"/>
      <c r="E14" s="553"/>
      <c r="F14" s="553"/>
      <c r="G14" s="553"/>
      <c r="H14" s="553">
        <v>3</v>
      </c>
      <c r="I14" s="553">
        <v>131</v>
      </c>
      <c r="J14" s="553"/>
      <c r="K14" s="553"/>
      <c r="L14" s="552">
        <f t="shared" si="4"/>
        <v>3</v>
      </c>
      <c r="M14" s="554">
        <f t="shared" si="4"/>
        <v>131</v>
      </c>
      <c r="N14" s="551"/>
      <c r="O14" s="553"/>
      <c r="P14" s="553"/>
      <c r="Q14" s="553"/>
      <c r="R14" s="553">
        <v>3</v>
      </c>
      <c r="S14" s="553">
        <v>154</v>
      </c>
      <c r="T14" s="553"/>
      <c r="U14" s="553"/>
      <c r="V14" s="552">
        <f t="shared" si="5"/>
        <v>3</v>
      </c>
      <c r="W14" s="554">
        <f t="shared" si="5"/>
        <v>154</v>
      </c>
    </row>
    <row r="15" spans="1:23" ht="27.75" customHeight="1">
      <c r="A15" s="1926"/>
      <c r="B15" s="1371" t="s">
        <v>279</v>
      </c>
      <c r="C15" s="1372"/>
      <c r="D15" s="551"/>
      <c r="E15" s="553"/>
      <c r="F15" s="553"/>
      <c r="G15" s="553"/>
      <c r="H15" s="553">
        <v>1</v>
      </c>
      <c r="I15" s="553">
        <v>60</v>
      </c>
      <c r="J15" s="553"/>
      <c r="K15" s="553"/>
      <c r="L15" s="552">
        <f t="shared" si="4"/>
        <v>1</v>
      </c>
      <c r="M15" s="554">
        <f t="shared" si="4"/>
        <v>60</v>
      </c>
      <c r="N15" s="551"/>
      <c r="O15" s="553"/>
      <c r="P15" s="553"/>
      <c r="Q15" s="553"/>
      <c r="R15" s="553">
        <v>1</v>
      </c>
      <c r="S15" s="553">
        <v>42</v>
      </c>
      <c r="T15" s="553"/>
      <c r="U15" s="553"/>
      <c r="V15" s="552">
        <f t="shared" si="5"/>
        <v>1</v>
      </c>
      <c r="W15" s="554">
        <f t="shared" si="5"/>
        <v>42</v>
      </c>
    </row>
    <row r="16" spans="1:23" ht="27.75" customHeight="1">
      <c r="A16" s="1926"/>
      <c r="B16" s="1371" t="s">
        <v>51</v>
      </c>
      <c r="C16" s="1372"/>
      <c r="D16" s="551">
        <v>1</v>
      </c>
      <c r="E16" s="553">
        <v>30</v>
      </c>
      <c r="F16" s="553">
        <v>1</v>
      </c>
      <c r="G16" s="553">
        <v>11</v>
      </c>
      <c r="H16" s="553">
        <v>1</v>
      </c>
      <c r="I16" s="553">
        <v>350</v>
      </c>
      <c r="J16" s="553">
        <v>6</v>
      </c>
      <c r="K16" s="553">
        <v>2090</v>
      </c>
      <c r="L16" s="552">
        <f t="shared" si="4"/>
        <v>9</v>
      </c>
      <c r="M16" s="554">
        <f t="shared" si="4"/>
        <v>2481</v>
      </c>
      <c r="N16" s="551">
        <v>1</v>
      </c>
      <c r="O16" s="553">
        <v>25</v>
      </c>
      <c r="P16" s="553">
        <v>2</v>
      </c>
      <c r="Q16" s="553">
        <v>70</v>
      </c>
      <c r="R16" s="553">
        <v>1</v>
      </c>
      <c r="S16" s="553">
        <v>350</v>
      </c>
      <c r="T16" s="553">
        <v>7</v>
      </c>
      <c r="U16" s="553">
        <v>2340</v>
      </c>
      <c r="V16" s="552">
        <f t="shared" si="5"/>
        <v>11</v>
      </c>
      <c r="W16" s="554">
        <f t="shared" si="5"/>
        <v>2785</v>
      </c>
    </row>
    <row r="17" spans="1:23" ht="27.75" customHeight="1" thickBot="1">
      <c r="A17" s="1926"/>
      <c r="B17" s="1389" t="s">
        <v>52</v>
      </c>
      <c r="C17" s="1390"/>
      <c r="D17" s="1248">
        <v>1</v>
      </c>
      <c r="E17" s="1249">
        <v>152</v>
      </c>
      <c r="F17" s="1249"/>
      <c r="G17" s="1249"/>
      <c r="H17" s="1249"/>
      <c r="I17" s="1249"/>
      <c r="J17" s="1249">
        <v>3</v>
      </c>
      <c r="K17" s="1249">
        <v>717</v>
      </c>
      <c r="L17" s="1245">
        <f t="shared" si="4"/>
        <v>4</v>
      </c>
      <c r="M17" s="1246">
        <f t="shared" si="4"/>
        <v>869</v>
      </c>
      <c r="N17" s="1248">
        <v>1</v>
      </c>
      <c r="O17" s="1249">
        <v>150</v>
      </c>
      <c r="P17" s="1249"/>
      <c r="Q17" s="1249"/>
      <c r="R17" s="1249"/>
      <c r="S17" s="1249"/>
      <c r="T17" s="1249">
        <v>3</v>
      </c>
      <c r="U17" s="1249">
        <v>930</v>
      </c>
      <c r="V17" s="1245">
        <f t="shared" si="5"/>
        <v>4</v>
      </c>
      <c r="W17" s="1246">
        <f t="shared" si="5"/>
        <v>1080</v>
      </c>
    </row>
    <row r="18" spans="1:23" ht="27.75" customHeight="1" thickBot="1" thickTop="1">
      <c r="A18" s="1927"/>
      <c r="B18" s="1862" t="s">
        <v>20</v>
      </c>
      <c r="C18" s="1863"/>
      <c r="D18" s="1240">
        <f aca="true" t="shared" si="6" ref="D18:W18">SUM(D12:D17)</f>
        <v>64</v>
      </c>
      <c r="E18" s="1241">
        <f t="shared" si="6"/>
        <v>12397</v>
      </c>
      <c r="F18" s="1241">
        <f t="shared" si="6"/>
        <v>50</v>
      </c>
      <c r="G18" s="1241">
        <f t="shared" si="6"/>
        <v>14030</v>
      </c>
      <c r="H18" s="1241">
        <f t="shared" si="6"/>
        <v>42</v>
      </c>
      <c r="I18" s="1241">
        <f t="shared" si="6"/>
        <v>11753</v>
      </c>
      <c r="J18" s="1241">
        <f t="shared" si="6"/>
        <v>39</v>
      </c>
      <c r="K18" s="1241">
        <f t="shared" si="6"/>
        <v>7881</v>
      </c>
      <c r="L18" s="1241">
        <f t="shared" si="6"/>
        <v>195</v>
      </c>
      <c r="M18" s="1247">
        <f t="shared" si="6"/>
        <v>46061</v>
      </c>
      <c r="N18" s="1240">
        <f t="shared" si="6"/>
        <v>50</v>
      </c>
      <c r="O18" s="1241">
        <f t="shared" si="6"/>
        <v>10531</v>
      </c>
      <c r="P18" s="1241">
        <f t="shared" si="6"/>
        <v>42</v>
      </c>
      <c r="Q18" s="1241">
        <f t="shared" si="6"/>
        <v>13305</v>
      </c>
      <c r="R18" s="1241">
        <f t="shared" si="6"/>
        <v>36</v>
      </c>
      <c r="S18" s="1241">
        <f t="shared" si="6"/>
        <v>8646</v>
      </c>
      <c r="T18" s="1241">
        <f t="shared" si="6"/>
        <v>40</v>
      </c>
      <c r="U18" s="1241">
        <f t="shared" si="6"/>
        <v>8213</v>
      </c>
      <c r="V18" s="1241">
        <f t="shared" si="6"/>
        <v>168</v>
      </c>
      <c r="W18" s="1247">
        <f t="shared" si="6"/>
        <v>40695</v>
      </c>
    </row>
    <row r="19" spans="1:23" ht="27.75" customHeight="1">
      <c r="A19" s="1920" t="s">
        <v>146</v>
      </c>
      <c r="B19" s="1369" t="s">
        <v>25</v>
      </c>
      <c r="C19" s="1370"/>
      <c r="D19" s="615">
        <v>20</v>
      </c>
      <c r="E19" s="552">
        <v>1635</v>
      </c>
      <c r="F19" s="616">
        <v>38</v>
      </c>
      <c r="G19" s="616">
        <v>4153</v>
      </c>
      <c r="H19" s="616">
        <v>13</v>
      </c>
      <c r="I19" s="616">
        <v>1046</v>
      </c>
      <c r="J19" s="616">
        <v>13</v>
      </c>
      <c r="K19" s="552">
        <v>2161</v>
      </c>
      <c r="L19" s="617">
        <f aca="true" t="shared" si="7" ref="L19:M25">SUM(D19,F19,H19,J19,)</f>
        <v>84</v>
      </c>
      <c r="M19" s="618">
        <f t="shared" si="7"/>
        <v>8995</v>
      </c>
      <c r="N19" s="615">
        <v>19</v>
      </c>
      <c r="O19" s="552">
        <v>1455</v>
      </c>
      <c r="P19" s="616">
        <v>34</v>
      </c>
      <c r="Q19" s="616">
        <v>3895</v>
      </c>
      <c r="R19" s="616">
        <v>14</v>
      </c>
      <c r="S19" s="616">
        <v>1085</v>
      </c>
      <c r="T19" s="616">
        <v>16</v>
      </c>
      <c r="U19" s="552">
        <v>2507</v>
      </c>
      <c r="V19" s="617">
        <f aca="true" t="shared" si="8" ref="V19:V26">SUM(N19,P19,R19,T19,)</f>
        <v>83</v>
      </c>
      <c r="W19" s="618">
        <f aca="true" t="shared" si="9" ref="W19:W26">SUM(O19,Q19,S19,U19,)</f>
        <v>8942</v>
      </c>
    </row>
    <row r="20" spans="1:23" ht="27.75" customHeight="1">
      <c r="A20" s="1921"/>
      <c r="B20" s="1371" t="s">
        <v>26</v>
      </c>
      <c r="C20" s="1372"/>
      <c r="D20" s="551">
        <v>7</v>
      </c>
      <c r="E20" s="553">
        <v>1852</v>
      </c>
      <c r="F20" s="553">
        <v>8</v>
      </c>
      <c r="G20" s="553">
        <v>2042</v>
      </c>
      <c r="H20" s="947"/>
      <c r="I20" s="947"/>
      <c r="J20" s="553">
        <v>1</v>
      </c>
      <c r="K20" s="553">
        <v>30</v>
      </c>
      <c r="L20" s="552">
        <f t="shared" si="7"/>
        <v>16</v>
      </c>
      <c r="M20" s="554">
        <f t="shared" si="7"/>
        <v>3924</v>
      </c>
      <c r="N20" s="551">
        <v>7</v>
      </c>
      <c r="O20" s="553">
        <v>1865</v>
      </c>
      <c r="P20" s="553">
        <v>8</v>
      </c>
      <c r="Q20" s="553">
        <v>1870</v>
      </c>
      <c r="R20" s="553"/>
      <c r="S20" s="553"/>
      <c r="T20" s="553">
        <v>1</v>
      </c>
      <c r="U20" s="553">
        <v>50</v>
      </c>
      <c r="V20" s="552">
        <f t="shared" si="8"/>
        <v>16</v>
      </c>
      <c r="W20" s="554">
        <f t="shared" si="9"/>
        <v>3785</v>
      </c>
    </row>
    <row r="21" spans="1:23" ht="27.75" customHeight="1">
      <c r="A21" s="1921"/>
      <c r="B21" s="1371" t="s">
        <v>280</v>
      </c>
      <c r="C21" s="1372"/>
      <c r="D21" s="551">
        <v>5</v>
      </c>
      <c r="E21" s="553">
        <v>884</v>
      </c>
      <c r="F21" s="553">
        <v>17</v>
      </c>
      <c r="G21" s="553">
        <v>1368</v>
      </c>
      <c r="H21" s="553">
        <v>25</v>
      </c>
      <c r="I21" s="553">
        <v>904</v>
      </c>
      <c r="J21" s="553">
        <v>20</v>
      </c>
      <c r="K21" s="553">
        <v>553</v>
      </c>
      <c r="L21" s="552">
        <f t="shared" si="7"/>
        <v>67</v>
      </c>
      <c r="M21" s="554">
        <f t="shared" si="7"/>
        <v>3709</v>
      </c>
      <c r="N21" s="551">
        <v>6</v>
      </c>
      <c r="O21" s="553">
        <v>945</v>
      </c>
      <c r="P21" s="553">
        <v>17</v>
      </c>
      <c r="Q21" s="553">
        <v>1363</v>
      </c>
      <c r="R21" s="553">
        <v>26</v>
      </c>
      <c r="S21" s="553">
        <v>891</v>
      </c>
      <c r="T21" s="553">
        <v>20</v>
      </c>
      <c r="U21" s="553">
        <v>572</v>
      </c>
      <c r="V21" s="552">
        <f t="shared" si="8"/>
        <v>69</v>
      </c>
      <c r="W21" s="554">
        <f t="shared" si="9"/>
        <v>3771</v>
      </c>
    </row>
    <row r="22" spans="1:23" ht="27.75" customHeight="1">
      <c r="A22" s="1921"/>
      <c r="B22" s="1371" t="s">
        <v>115</v>
      </c>
      <c r="C22" s="1372"/>
      <c r="D22" s="551">
        <v>5</v>
      </c>
      <c r="E22" s="553">
        <v>196</v>
      </c>
      <c r="F22" s="553">
        <v>6</v>
      </c>
      <c r="G22" s="553">
        <v>361</v>
      </c>
      <c r="H22" s="553">
        <v>4</v>
      </c>
      <c r="I22" s="553">
        <v>159</v>
      </c>
      <c r="J22" s="553">
        <v>3</v>
      </c>
      <c r="K22" s="553">
        <v>174</v>
      </c>
      <c r="L22" s="552">
        <f t="shared" si="7"/>
        <v>18</v>
      </c>
      <c r="M22" s="554">
        <f t="shared" si="7"/>
        <v>890</v>
      </c>
      <c r="N22" s="551">
        <v>5</v>
      </c>
      <c r="O22" s="553">
        <v>210</v>
      </c>
      <c r="P22" s="553">
        <v>6</v>
      </c>
      <c r="Q22" s="553">
        <v>410</v>
      </c>
      <c r="R22" s="553">
        <v>4</v>
      </c>
      <c r="S22" s="553">
        <v>140</v>
      </c>
      <c r="T22" s="553">
        <v>3</v>
      </c>
      <c r="U22" s="553">
        <v>165</v>
      </c>
      <c r="V22" s="552">
        <f t="shared" si="8"/>
        <v>18</v>
      </c>
      <c r="W22" s="554">
        <f t="shared" si="9"/>
        <v>925</v>
      </c>
    </row>
    <row r="23" spans="1:23" ht="27.75" customHeight="1">
      <c r="A23" s="1921"/>
      <c r="B23" s="1923" t="s">
        <v>53</v>
      </c>
      <c r="C23" s="1924"/>
      <c r="D23" s="631">
        <v>4</v>
      </c>
      <c r="E23" s="632">
        <v>291</v>
      </c>
      <c r="F23" s="632">
        <v>2</v>
      </c>
      <c r="G23" s="632">
        <v>71</v>
      </c>
      <c r="H23" s="632">
        <v>1</v>
      </c>
      <c r="I23" s="632">
        <v>78</v>
      </c>
      <c r="J23" s="632">
        <v>5</v>
      </c>
      <c r="K23" s="632">
        <v>1387</v>
      </c>
      <c r="L23" s="574">
        <f t="shared" si="7"/>
        <v>12</v>
      </c>
      <c r="M23" s="633">
        <f t="shared" si="7"/>
        <v>1827</v>
      </c>
      <c r="N23" s="631">
        <v>4</v>
      </c>
      <c r="O23" s="632">
        <v>285</v>
      </c>
      <c r="P23" s="632">
        <v>2</v>
      </c>
      <c r="Q23" s="632">
        <v>65</v>
      </c>
      <c r="R23" s="632">
        <v>1</v>
      </c>
      <c r="S23" s="632">
        <v>70</v>
      </c>
      <c r="T23" s="632">
        <v>5</v>
      </c>
      <c r="U23" s="632">
        <v>1393</v>
      </c>
      <c r="V23" s="574">
        <f t="shared" si="8"/>
        <v>12</v>
      </c>
      <c r="W23" s="633">
        <f t="shared" si="9"/>
        <v>1813</v>
      </c>
    </row>
    <row r="24" spans="1:23" ht="27.75" customHeight="1">
      <c r="A24" s="1921"/>
      <c r="B24" s="1371" t="s">
        <v>27</v>
      </c>
      <c r="C24" s="1372"/>
      <c r="D24" s="551">
        <v>13</v>
      </c>
      <c r="E24" s="553">
        <v>582</v>
      </c>
      <c r="F24" s="553">
        <v>25</v>
      </c>
      <c r="G24" s="553">
        <v>1251</v>
      </c>
      <c r="H24" s="553">
        <v>6</v>
      </c>
      <c r="I24" s="553">
        <v>136</v>
      </c>
      <c r="J24" s="553">
        <v>23</v>
      </c>
      <c r="K24" s="553">
        <v>738</v>
      </c>
      <c r="L24" s="552">
        <f t="shared" si="7"/>
        <v>67</v>
      </c>
      <c r="M24" s="554">
        <f t="shared" si="7"/>
        <v>2707</v>
      </c>
      <c r="N24" s="551">
        <v>12</v>
      </c>
      <c r="O24" s="553">
        <v>259</v>
      </c>
      <c r="P24" s="553">
        <v>16</v>
      </c>
      <c r="Q24" s="553">
        <v>895</v>
      </c>
      <c r="R24" s="553">
        <v>6</v>
      </c>
      <c r="S24" s="553">
        <v>125</v>
      </c>
      <c r="T24" s="553">
        <v>10</v>
      </c>
      <c r="U24" s="553">
        <v>515</v>
      </c>
      <c r="V24" s="552">
        <f t="shared" si="8"/>
        <v>44</v>
      </c>
      <c r="W24" s="554">
        <f t="shared" si="9"/>
        <v>1794</v>
      </c>
    </row>
    <row r="25" spans="1:23" ht="27.75" customHeight="1">
      <c r="A25" s="1921"/>
      <c r="B25" s="1371" t="s">
        <v>265</v>
      </c>
      <c r="C25" s="1372"/>
      <c r="D25" s="626">
        <v>6</v>
      </c>
      <c r="E25" s="552">
        <v>3001</v>
      </c>
      <c r="F25" s="552">
        <v>3</v>
      </c>
      <c r="G25" s="552">
        <v>850</v>
      </c>
      <c r="H25" s="552">
        <v>1</v>
      </c>
      <c r="I25" s="552">
        <v>300</v>
      </c>
      <c r="J25" s="552">
        <v>1</v>
      </c>
      <c r="K25" s="552">
        <v>200</v>
      </c>
      <c r="L25" s="552">
        <f t="shared" si="7"/>
        <v>11</v>
      </c>
      <c r="M25" s="554">
        <f t="shared" si="7"/>
        <v>4351</v>
      </c>
      <c r="N25" s="626">
        <v>6</v>
      </c>
      <c r="O25" s="552">
        <v>3739</v>
      </c>
      <c r="P25" s="552">
        <v>3</v>
      </c>
      <c r="Q25" s="552">
        <v>850</v>
      </c>
      <c r="R25" s="552">
        <v>1</v>
      </c>
      <c r="S25" s="552">
        <v>300</v>
      </c>
      <c r="T25" s="552">
        <v>1</v>
      </c>
      <c r="U25" s="552">
        <v>200</v>
      </c>
      <c r="V25" s="552">
        <f t="shared" si="8"/>
        <v>11</v>
      </c>
      <c r="W25" s="554">
        <f t="shared" si="9"/>
        <v>5089</v>
      </c>
    </row>
    <row r="26" spans="1:23" ht="27.75" customHeight="1">
      <c r="A26" s="1921"/>
      <c r="B26" s="1923" t="s">
        <v>281</v>
      </c>
      <c r="C26" s="1924"/>
      <c r="D26" s="551">
        <v>3</v>
      </c>
      <c r="E26" s="552">
        <v>91</v>
      </c>
      <c r="F26" s="553">
        <v>5</v>
      </c>
      <c r="G26" s="553">
        <v>108</v>
      </c>
      <c r="H26" s="553">
        <v>9</v>
      </c>
      <c r="I26" s="553">
        <v>163</v>
      </c>
      <c r="J26" s="553">
        <v>5</v>
      </c>
      <c r="K26" s="553">
        <v>158</v>
      </c>
      <c r="L26" s="552">
        <f>SUM(D26,F26,H26,J26,)</f>
        <v>22</v>
      </c>
      <c r="M26" s="554">
        <f>SUM(E26,G26,I26,K26,)</f>
        <v>520</v>
      </c>
      <c r="N26" s="551">
        <v>4</v>
      </c>
      <c r="O26" s="552">
        <v>84</v>
      </c>
      <c r="P26" s="553">
        <v>7</v>
      </c>
      <c r="Q26" s="553">
        <v>131</v>
      </c>
      <c r="R26" s="553">
        <v>13</v>
      </c>
      <c r="S26" s="553">
        <v>168</v>
      </c>
      <c r="T26" s="553">
        <v>8</v>
      </c>
      <c r="U26" s="553">
        <v>1476</v>
      </c>
      <c r="V26" s="552">
        <f t="shared" si="8"/>
        <v>32</v>
      </c>
      <c r="W26" s="554">
        <f t="shared" si="9"/>
        <v>1859</v>
      </c>
    </row>
    <row r="27" spans="1:23" ht="27.75" customHeight="1" thickBot="1">
      <c r="A27" s="1921"/>
      <c r="B27" s="1389" t="s">
        <v>120</v>
      </c>
      <c r="C27" s="1390"/>
      <c r="D27" s="1248">
        <v>6</v>
      </c>
      <c r="E27" s="1249">
        <v>470</v>
      </c>
      <c r="F27" s="1249">
        <v>3</v>
      </c>
      <c r="G27" s="1249">
        <v>247</v>
      </c>
      <c r="H27" s="1249">
        <v>1</v>
      </c>
      <c r="I27" s="1249">
        <v>7</v>
      </c>
      <c r="J27" s="1249">
        <v>6</v>
      </c>
      <c r="K27" s="1249">
        <v>281</v>
      </c>
      <c r="L27" s="1245">
        <f>SUM(D27,F27,H27,J27,)</f>
        <v>16</v>
      </c>
      <c r="M27" s="1246">
        <f>SUM(E27,G27,I27,K27,)</f>
        <v>1005</v>
      </c>
      <c r="N27" s="1248">
        <v>4</v>
      </c>
      <c r="O27" s="1249">
        <v>310</v>
      </c>
      <c r="P27" s="1249">
        <v>3</v>
      </c>
      <c r="Q27" s="1249">
        <v>230</v>
      </c>
      <c r="R27" s="1249">
        <v>1</v>
      </c>
      <c r="S27" s="1249">
        <v>40</v>
      </c>
      <c r="T27" s="1249">
        <v>3</v>
      </c>
      <c r="U27" s="1249">
        <v>215</v>
      </c>
      <c r="V27" s="1245">
        <f>SUM(N27,P27,R27,T27,)</f>
        <v>11</v>
      </c>
      <c r="W27" s="1246">
        <f>SUM(O27,Q27,S27,U27,)</f>
        <v>795</v>
      </c>
    </row>
    <row r="28" spans="1:23" ht="27.75" customHeight="1" thickBot="1" thickTop="1">
      <c r="A28" s="1922"/>
      <c r="B28" s="1862" t="s">
        <v>20</v>
      </c>
      <c r="C28" s="1863"/>
      <c r="D28" s="1240">
        <f aca="true" t="shared" si="10" ref="D28:W28">SUM(D19:D27)</f>
        <v>69</v>
      </c>
      <c r="E28" s="1241">
        <f t="shared" si="10"/>
        <v>9002</v>
      </c>
      <c r="F28" s="1241">
        <f t="shared" si="10"/>
        <v>107</v>
      </c>
      <c r="G28" s="1241">
        <f t="shared" si="10"/>
        <v>10451</v>
      </c>
      <c r="H28" s="1241">
        <f t="shared" si="10"/>
        <v>60</v>
      </c>
      <c r="I28" s="1241">
        <f t="shared" si="10"/>
        <v>2793</v>
      </c>
      <c r="J28" s="1241">
        <f t="shared" si="10"/>
        <v>77</v>
      </c>
      <c r="K28" s="1241">
        <f t="shared" si="10"/>
        <v>5682</v>
      </c>
      <c r="L28" s="1241">
        <f t="shared" si="10"/>
        <v>313</v>
      </c>
      <c r="M28" s="1247">
        <f t="shared" si="10"/>
        <v>27928</v>
      </c>
      <c r="N28" s="1240">
        <f t="shared" si="10"/>
        <v>67</v>
      </c>
      <c r="O28" s="1241">
        <f t="shared" si="10"/>
        <v>9152</v>
      </c>
      <c r="P28" s="1241">
        <f t="shared" si="10"/>
        <v>96</v>
      </c>
      <c r="Q28" s="1241">
        <f t="shared" si="10"/>
        <v>9709</v>
      </c>
      <c r="R28" s="1241">
        <f t="shared" si="10"/>
        <v>66</v>
      </c>
      <c r="S28" s="1241">
        <f t="shared" si="10"/>
        <v>2819</v>
      </c>
      <c r="T28" s="1241">
        <f t="shared" si="10"/>
        <v>67</v>
      </c>
      <c r="U28" s="1241">
        <f t="shared" si="10"/>
        <v>7093</v>
      </c>
      <c r="V28" s="1241">
        <f t="shared" si="10"/>
        <v>296</v>
      </c>
      <c r="W28" s="1247">
        <f t="shared" si="10"/>
        <v>28773</v>
      </c>
    </row>
    <row r="29" spans="4:23" ht="18.75" customHeight="1"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</row>
    <row r="30" spans="4:23" ht="15" customHeight="1"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</row>
  </sheetData>
  <sheetProtection/>
  <mergeCells count="40">
    <mergeCell ref="N1:V1"/>
    <mergeCell ref="D2:M2"/>
    <mergeCell ref="N2:W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5:C5"/>
    <mergeCell ref="A6:A11"/>
    <mergeCell ref="B6:C6"/>
    <mergeCell ref="B7:C7"/>
    <mergeCell ref="B8:C8"/>
    <mergeCell ref="B9:C9"/>
    <mergeCell ref="B10:C10"/>
    <mergeCell ref="B27:C27"/>
    <mergeCell ref="B11:C11"/>
    <mergeCell ref="A12:A18"/>
    <mergeCell ref="B12:C12"/>
    <mergeCell ref="B13:C13"/>
    <mergeCell ref="B14:C14"/>
    <mergeCell ref="B15:C15"/>
    <mergeCell ref="B16:C16"/>
    <mergeCell ref="B17:C17"/>
    <mergeCell ref="B18:C18"/>
    <mergeCell ref="B28:C28"/>
    <mergeCell ref="A19:A28"/>
    <mergeCell ref="B19:C19"/>
    <mergeCell ref="B20:C20"/>
    <mergeCell ref="B21:C21"/>
    <mergeCell ref="B22:C22"/>
    <mergeCell ref="B23:C23"/>
    <mergeCell ref="B24:C24"/>
    <mergeCell ref="B25:C25"/>
    <mergeCell ref="B26:C26"/>
  </mergeCells>
  <printOptions/>
  <pageMargins left="0.7086614173228347" right="0.1968503937007874" top="1.062992125984252" bottom="0.1968503937007874" header="0.7874015748031497" footer="0.3937007874015748"/>
  <pageSetup firstPageNumber="26" useFirstPageNumber="1" horizontalDpi="600" verticalDpi="600" orientation="portrait" pageOrder="overThenDown" paperSize="9" scale="99" r:id="rId2"/>
  <headerFooter scaleWithDoc="0" alignWithMargins="0">
    <oddHeader>&amp;L&amp;"ＭＳ Ｐゴシック,太字"13　青少年の地域活動の状況</oddHeader>
    <oddFooter>&amp;C&amp;12&amp;P</oddFooter>
  </headerFooter>
  <colBreaks count="1" manualBreakCount="1">
    <brk id="13" min="3" max="29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120" zoomScaleNormal="110" zoomScaleSheetLayoutView="120" zoomScalePageLayoutView="0" workbookViewId="0" topLeftCell="A1">
      <pane xSplit="3" ySplit="6" topLeftCell="D7" activePane="bottomRight" state="frozen"/>
      <selection pane="topLeft" activeCell="N6" sqref="N6"/>
      <selection pane="topRight" activeCell="N6" sqref="N6"/>
      <selection pane="bottomLeft" activeCell="N6" sqref="N6"/>
      <selection pane="bottomRight" activeCell="N6" sqref="N6"/>
    </sheetView>
  </sheetViews>
  <sheetFormatPr defaultColWidth="9.00390625" defaultRowHeight="13.5"/>
  <cols>
    <col min="1" max="1" width="3.375" style="18" customWidth="1"/>
    <col min="2" max="2" width="2.25390625" style="18" customWidth="1"/>
    <col min="3" max="9" width="8.75390625" style="18" customWidth="1"/>
    <col min="10" max="10" width="11.25390625" style="18" customWidth="1"/>
    <col min="11" max="11" width="11.125" style="18" customWidth="1"/>
    <col min="12" max="12" width="1.00390625" style="18" customWidth="1"/>
    <col min="13" max="16384" width="9.00390625" style="18" customWidth="1"/>
  </cols>
  <sheetData>
    <row r="1" spans="1:13" ht="15.75" customHeight="1">
      <c r="A1" s="311"/>
      <c r="B1" s="312" t="s">
        <v>17</v>
      </c>
      <c r="C1" s="313" t="s">
        <v>282</v>
      </c>
      <c r="D1" s="1961" t="s">
        <v>283</v>
      </c>
      <c r="E1" s="1962"/>
      <c r="F1" s="1962"/>
      <c r="G1" s="1962"/>
      <c r="H1" s="1963"/>
      <c r="I1" s="1964"/>
      <c r="J1" s="1965" t="s">
        <v>284</v>
      </c>
      <c r="K1" s="1966"/>
      <c r="L1" s="101"/>
      <c r="M1" s="102"/>
    </row>
    <row r="2" spans="1:13" ht="15.75" customHeight="1">
      <c r="A2" s="314"/>
      <c r="B2" s="309"/>
      <c r="C2" s="315"/>
      <c r="D2" s="1969" t="s">
        <v>285</v>
      </c>
      <c r="E2" s="1970"/>
      <c r="F2" s="1971" t="s">
        <v>286</v>
      </c>
      <c r="G2" s="1972"/>
      <c r="H2" s="1971" t="s">
        <v>287</v>
      </c>
      <c r="I2" s="1972"/>
      <c r="J2" s="1967"/>
      <c r="K2" s="1968"/>
      <c r="L2" s="101"/>
      <c r="M2" s="102"/>
    </row>
    <row r="3" spans="1:13" ht="13.5">
      <c r="A3" s="314"/>
      <c r="B3" s="310"/>
      <c r="C3" s="310"/>
      <c r="D3" s="316" t="s">
        <v>608</v>
      </c>
      <c r="E3" s="316" t="s">
        <v>607</v>
      </c>
      <c r="F3" s="316" t="s">
        <v>606</v>
      </c>
      <c r="G3" s="316" t="s">
        <v>605</v>
      </c>
      <c r="H3" s="317" t="s">
        <v>604</v>
      </c>
      <c r="I3" s="318" t="s">
        <v>603</v>
      </c>
      <c r="J3" s="319" t="s">
        <v>602</v>
      </c>
      <c r="K3" s="320" t="s">
        <v>601</v>
      </c>
      <c r="L3" s="101"/>
      <c r="M3" s="102"/>
    </row>
    <row r="4" spans="1:13" ht="18" customHeight="1">
      <c r="A4" s="314"/>
      <c r="B4" s="310"/>
      <c r="C4" s="310"/>
      <c r="D4" s="1954" t="s">
        <v>288</v>
      </c>
      <c r="E4" s="1954" t="s">
        <v>289</v>
      </c>
      <c r="F4" s="1954" t="s">
        <v>288</v>
      </c>
      <c r="G4" s="1954" t="s">
        <v>289</v>
      </c>
      <c r="H4" s="1954" t="s">
        <v>288</v>
      </c>
      <c r="I4" s="1954" t="s">
        <v>289</v>
      </c>
      <c r="J4" s="1954" t="s">
        <v>290</v>
      </c>
      <c r="K4" s="1955" t="s">
        <v>291</v>
      </c>
      <c r="L4" s="101"/>
      <c r="M4" s="102"/>
    </row>
    <row r="5" spans="1:13" ht="18" customHeight="1" thickBot="1">
      <c r="A5" s="321" t="s">
        <v>292</v>
      </c>
      <c r="B5" s="322"/>
      <c r="C5" s="310"/>
      <c r="D5" s="1954"/>
      <c r="E5" s="1954" t="s">
        <v>600</v>
      </c>
      <c r="F5" s="1954"/>
      <c r="G5" s="1954" t="s">
        <v>600</v>
      </c>
      <c r="H5" s="1954"/>
      <c r="I5" s="1954" t="s">
        <v>600</v>
      </c>
      <c r="J5" s="1954"/>
      <c r="K5" s="1955"/>
      <c r="L5" s="101"/>
      <c r="M5" s="102"/>
    </row>
    <row r="6" spans="1:13" ht="27" customHeight="1" thickBot="1">
      <c r="A6" s="1956" t="s">
        <v>230</v>
      </c>
      <c r="B6" s="1957"/>
      <c r="C6" s="1958"/>
      <c r="D6" s="323">
        <f aca="true" t="shared" si="0" ref="D6:K6">D12+D19+D29</f>
        <v>444</v>
      </c>
      <c r="E6" s="323">
        <f t="shared" si="0"/>
        <v>12228</v>
      </c>
      <c r="F6" s="323">
        <f t="shared" si="0"/>
        <v>68</v>
      </c>
      <c r="G6" s="323">
        <f t="shared" si="0"/>
        <v>4581</v>
      </c>
      <c r="H6" s="323">
        <f t="shared" si="0"/>
        <v>10</v>
      </c>
      <c r="I6" s="323">
        <f t="shared" si="0"/>
        <v>200</v>
      </c>
      <c r="J6" s="323">
        <f t="shared" si="0"/>
        <v>522</v>
      </c>
      <c r="K6" s="324">
        <f t="shared" si="0"/>
        <v>17009</v>
      </c>
      <c r="L6" s="101"/>
      <c r="M6" s="102"/>
    </row>
    <row r="7" spans="1:13" ht="27" customHeight="1">
      <c r="A7" s="1934" t="s">
        <v>10</v>
      </c>
      <c r="B7" s="1948" t="s">
        <v>260</v>
      </c>
      <c r="C7" s="1949"/>
      <c r="D7" s="555"/>
      <c r="E7" s="555"/>
      <c r="F7" s="555"/>
      <c r="G7" s="555"/>
      <c r="H7" s="555"/>
      <c r="I7" s="556"/>
      <c r="J7" s="556" t="s">
        <v>867</v>
      </c>
      <c r="K7" s="557" t="s">
        <v>1063</v>
      </c>
      <c r="L7" s="101"/>
      <c r="M7" s="102"/>
    </row>
    <row r="8" spans="1:13" ht="27" customHeight="1">
      <c r="A8" s="1935"/>
      <c r="B8" s="1948" t="s">
        <v>97</v>
      </c>
      <c r="C8" s="1949"/>
      <c r="D8" s="555">
        <v>266</v>
      </c>
      <c r="E8" s="555">
        <v>5305</v>
      </c>
      <c r="F8" s="555"/>
      <c r="G8" s="555"/>
      <c r="H8" s="555"/>
      <c r="I8" s="556"/>
      <c r="J8" s="555">
        <f>D8+F8+H8</f>
        <v>266</v>
      </c>
      <c r="K8" s="557">
        <f>E8+G8+I8</f>
        <v>5305</v>
      </c>
      <c r="L8" s="101"/>
      <c r="M8" s="102"/>
    </row>
    <row r="9" spans="1:13" ht="27" customHeight="1">
      <c r="A9" s="1935"/>
      <c r="B9" s="1959" t="s">
        <v>261</v>
      </c>
      <c r="C9" s="1960"/>
      <c r="D9" s="634"/>
      <c r="E9" s="634"/>
      <c r="F9" s="634"/>
      <c r="G9" s="634"/>
      <c r="H9" s="634"/>
      <c r="I9" s="635"/>
      <c r="J9" s="635" t="s">
        <v>867</v>
      </c>
      <c r="K9" s="636" t="s">
        <v>1063</v>
      </c>
      <c r="L9" s="101"/>
      <c r="M9" s="102"/>
    </row>
    <row r="10" spans="1:13" ht="27" customHeight="1">
      <c r="A10" s="1935"/>
      <c r="B10" s="1948" t="s">
        <v>21</v>
      </c>
      <c r="C10" s="1949"/>
      <c r="D10" s="556">
        <v>15</v>
      </c>
      <c r="E10" s="556">
        <v>424</v>
      </c>
      <c r="F10" s="556"/>
      <c r="G10" s="556"/>
      <c r="H10" s="555"/>
      <c r="I10" s="556"/>
      <c r="J10" s="555">
        <f>D10+F10+H10</f>
        <v>15</v>
      </c>
      <c r="K10" s="557">
        <f>E10+G10+I10</f>
        <v>424</v>
      </c>
      <c r="L10" s="101"/>
      <c r="M10" s="102"/>
    </row>
    <row r="11" spans="1:13" ht="27" customHeight="1" thickBot="1">
      <c r="A11" s="1935"/>
      <c r="B11" s="1952" t="s">
        <v>278</v>
      </c>
      <c r="C11" s="1953"/>
      <c r="D11" s="1019"/>
      <c r="E11" s="1019"/>
      <c r="F11" s="1019"/>
      <c r="G11" s="1019"/>
      <c r="H11" s="1019"/>
      <c r="I11" s="1251"/>
      <c r="J11" s="1251" t="s">
        <v>867</v>
      </c>
      <c r="K11" s="1252" t="s">
        <v>1063</v>
      </c>
      <c r="L11" s="101"/>
      <c r="M11" s="102"/>
    </row>
    <row r="12" spans="1:13" ht="27" customHeight="1" thickBot="1" thickTop="1">
      <c r="A12" s="1936"/>
      <c r="B12" s="1944" t="s">
        <v>599</v>
      </c>
      <c r="C12" s="1945"/>
      <c r="D12" s="1250">
        <f aca="true" t="shared" si="1" ref="D12:K12">SUM(D7:D11)</f>
        <v>281</v>
      </c>
      <c r="E12" s="1250">
        <f t="shared" si="1"/>
        <v>5729</v>
      </c>
      <c r="F12" s="1250">
        <f t="shared" si="1"/>
        <v>0</v>
      </c>
      <c r="G12" s="1250">
        <f t="shared" si="1"/>
        <v>0</v>
      </c>
      <c r="H12" s="1250">
        <f t="shared" si="1"/>
        <v>0</v>
      </c>
      <c r="I12" s="1250">
        <f t="shared" si="1"/>
        <v>0</v>
      </c>
      <c r="J12" s="1250">
        <f t="shared" si="1"/>
        <v>281</v>
      </c>
      <c r="K12" s="356">
        <f t="shared" si="1"/>
        <v>5729</v>
      </c>
      <c r="L12" s="101"/>
      <c r="M12" s="102"/>
    </row>
    <row r="13" spans="1:13" ht="27" customHeight="1">
      <c r="A13" s="1934" t="s">
        <v>293</v>
      </c>
      <c r="B13" s="1946" t="s">
        <v>22</v>
      </c>
      <c r="C13" s="1947"/>
      <c r="D13" s="619">
        <v>140</v>
      </c>
      <c r="E13" s="619">
        <v>6038</v>
      </c>
      <c r="F13" s="619">
        <v>67</v>
      </c>
      <c r="G13" s="619">
        <v>4566</v>
      </c>
      <c r="H13" s="619">
        <v>9</v>
      </c>
      <c r="I13" s="620">
        <v>195</v>
      </c>
      <c r="J13" s="619">
        <f>D13+F13+H13</f>
        <v>216</v>
      </c>
      <c r="K13" s="621">
        <f>E13+G13+I13</f>
        <v>10799</v>
      </c>
      <c r="L13" s="101"/>
      <c r="M13" s="102"/>
    </row>
    <row r="14" spans="1:13" ht="27" customHeight="1">
      <c r="A14" s="1935"/>
      <c r="B14" s="1948" t="s">
        <v>23</v>
      </c>
      <c r="C14" s="1949"/>
      <c r="D14" s="555"/>
      <c r="E14" s="555"/>
      <c r="F14" s="555"/>
      <c r="G14" s="555"/>
      <c r="H14" s="555"/>
      <c r="I14" s="556"/>
      <c r="J14" s="556" t="s">
        <v>867</v>
      </c>
      <c r="K14" s="557" t="s">
        <v>1063</v>
      </c>
      <c r="L14" s="101"/>
      <c r="M14" s="102"/>
    </row>
    <row r="15" spans="1:13" ht="27" customHeight="1">
      <c r="A15" s="1935"/>
      <c r="B15" s="1948" t="s">
        <v>294</v>
      </c>
      <c r="C15" s="1949"/>
      <c r="D15" s="555"/>
      <c r="E15" s="555"/>
      <c r="F15" s="555"/>
      <c r="G15" s="555"/>
      <c r="H15" s="555"/>
      <c r="I15" s="556"/>
      <c r="J15" s="556" t="s">
        <v>867</v>
      </c>
      <c r="K15" s="557" t="s">
        <v>1063</v>
      </c>
      <c r="L15" s="101"/>
      <c r="M15" s="102"/>
    </row>
    <row r="16" spans="1:13" ht="27" customHeight="1">
      <c r="A16" s="1935"/>
      <c r="B16" s="1948" t="s">
        <v>42</v>
      </c>
      <c r="C16" s="1949"/>
      <c r="D16" s="555"/>
      <c r="E16" s="555"/>
      <c r="F16" s="555"/>
      <c r="G16" s="555"/>
      <c r="H16" s="555"/>
      <c r="I16" s="556"/>
      <c r="J16" s="556" t="s">
        <v>867</v>
      </c>
      <c r="K16" s="557" t="s">
        <v>1063</v>
      </c>
      <c r="L16" s="101"/>
      <c r="M16" s="102"/>
    </row>
    <row r="17" spans="1:13" ht="27" customHeight="1">
      <c r="A17" s="1935"/>
      <c r="B17" s="1948" t="s">
        <v>51</v>
      </c>
      <c r="C17" s="1949"/>
      <c r="D17" s="555"/>
      <c r="E17" s="555"/>
      <c r="F17" s="555"/>
      <c r="G17" s="555"/>
      <c r="H17" s="555"/>
      <c r="I17" s="556"/>
      <c r="J17" s="556" t="s">
        <v>867</v>
      </c>
      <c r="K17" s="557" t="s">
        <v>1063</v>
      </c>
      <c r="L17" s="101"/>
      <c r="M17" s="102"/>
    </row>
    <row r="18" spans="1:13" ht="27" customHeight="1" thickBot="1">
      <c r="A18" s="1935"/>
      <c r="B18" s="1952" t="s">
        <v>52</v>
      </c>
      <c r="C18" s="1953"/>
      <c r="D18" s="1019">
        <v>15</v>
      </c>
      <c r="E18" s="1019">
        <v>286</v>
      </c>
      <c r="F18" s="1019"/>
      <c r="G18" s="1019"/>
      <c r="H18" s="1019"/>
      <c r="I18" s="1251"/>
      <c r="J18" s="1019">
        <f>D18+F18+H18</f>
        <v>15</v>
      </c>
      <c r="K18" s="1252">
        <f>E18+G18+I18</f>
        <v>286</v>
      </c>
      <c r="L18" s="101"/>
      <c r="M18" s="102"/>
    </row>
    <row r="19" spans="1:13" ht="27" customHeight="1" thickBot="1" thickTop="1">
      <c r="A19" s="1936"/>
      <c r="B19" s="1944" t="s">
        <v>599</v>
      </c>
      <c r="C19" s="1945"/>
      <c r="D19" s="1250">
        <f aca="true" t="shared" si="2" ref="D19:K19">SUM(D13:D18)</f>
        <v>155</v>
      </c>
      <c r="E19" s="1250">
        <f t="shared" si="2"/>
        <v>6324</v>
      </c>
      <c r="F19" s="1250">
        <f t="shared" si="2"/>
        <v>67</v>
      </c>
      <c r="G19" s="1250">
        <f t="shared" si="2"/>
        <v>4566</v>
      </c>
      <c r="H19" s="1250">
        <f t="shared" si="2"/>
        <v>9</v>
      </c>
      <c r="I19" s="1250">
        <f t="shared" si="2"/>
        <v>195</v>
      </c>
      <c r="J19" s="1250">
        <f t="shared" si="2"/>
        <v>231</v>
      </c>
      <c r="K19" s="1253">
        <f t="shared" si="2"/>
        <v>11085</v>
      </c>
      <c r="L19" s="101"/>
      <c r="M19" s="102"/>
    </row>
    <row r="20" spans="1:22" ht="27" customHeight="1">
      <c r="A20" s="1934" t="s">
        <v>295</v>
      </c>
      <c r="B20" s="1946" t="s">
        <v>25</v>
      </c>
      <c r="C20" s="1947"/>
      <c r="D20" s="619">
        <v>8</v>
      </c>
      <c r="E20" s="619">
        <v>175</v>
      </c>
      <c r="F20" s="619"/>
      <c r="G20" s="619"/>
      <c r="H20" s="619">
        <v>1</v>
      </c>
      <c r="I20" s="620">
        <v>5</v>
      </c>
      <c r="J20" s="619">
        <f>D20+F20+H20</f>
        <v>9</v>
      </c>
      <c r="K20" s="621">
        <f>E20+G20+I20</f>
        <v>180</v>
      </c>
      <c r="L20" s="101"/>
      <c r="M20" s="102"/>
      <c r="V20" s="18">
        <v>100</v>
      </c>
    </row>
    <row r="21" spans="1:13" ht="27" customHeight="1">
      <c r="A21" s="1935"/>
      <c r="B21" s="1948" t="s">
        <v>26</v>
      </c>
      <c r="C21" s="1949"/>
      <c r="D21" s="555"/>
      <c r="E21" s="555"/>
      <c r="F21" s="555"/>
      <c r="G21" s="555"/>
      <c r="H21" s="555"/>
      <c r="I21" s="556"/>
      <c r="J21" s="556" t="s">
        <v>867</v>
      </c>
      <c r="K21" s="557" t="s">
        <v>1063</v>
      </c>
      <c r="L21" s="101"/>
      <c r="M21" s="102"/>
    </row>
    <row r="22" spans="1:13" ht="27" customHeight="1">
      <c r="A22" s="1935"/>
      <c r="B22" s="1948" t="s">
        <v>113</v>
      </c>
      <c r="C22" s="1949"/>
      <c r="D22" s="555"/>
      <c r="E22" s="555"/>
      <c r="F22" s="555"/>
      <c r="G22" s="555"/>
      <c r="H22" s="555"/>
      <c r="I22" s="556"/>
      <c r="J22" s="556" t="s">
        <v>867</v>
      </c>
      <c r="K22" s="557" t="s">
        <v>1063</v>
      </c>
      <c r="L22" s="101"/>
      <c r="M22" s="102"/>
    </row>
    <row r="23" spans="1:13" ht="27" customHeight="1">
      <c r="A23" s="1935"/>
      <c r="B23" s="1948" t="s">
        <v>264</v>
      </c>
      <c r="C23" s="1949"/>
      <c r="D23" s="555"/>
      <c r="E23" s="555"/>
      <c r="F23" s="555"/>
      <c r="G23" s="555"/>
      <c r="H23" s="555"/>
      <c r="I23" s="556"/>
      <c r="J23" s="556" t="s">
        <v>867</v>
      </c>
      <c r="K23" s="557" t="s">
        <v>1063</v>
      </c>
      <c r="L23" s="101"/>
      <c r="M23" s="102"/>
    </row>
    <row r="24" spans="1:13" ht="27" customHeight="1">
      <c r="A24" s="1935"/>
      <c r="B24" s="1950" t="s">
        <v>53</v>
      </c>
      <c r="C24" s="1951"/>
      <c r="D24" s="555"/>
      <c r="E24" s="555"/>
      <c r="F24" s="555"/>
      <c r="G24" s="555"/>
      <c r="H24" s="555"/>
      <c r="I24" s="556"/>
      <c r="J24" s="556" t="s">
        <v>867</v>
      </c>
      <c r="K24" s="557" t="s">
        <v>1063</v>
      </c>
      <c r="L24" s="101"/>
      <c r="M24" s="102"/>
    </row>
    <row r="25" spans="1:13" ht="27" customHeight="1">
      <c r="A25" s="1935"/>
      <c r="B25" s="1948" t="s">
        <v>27</v>
      </c>
      <c r="C25" s="1949"/>
      <c r="D25" s="558"/>
      <c r="E25" s="558"/>
      <c r="F25" s="558"/>
      <c r="G25" s="558"/>
      <c r="H25" s="558"/>
      <c r="I25" s="628"/>
      <c r="J25" s="556" t="s">
        <v>867</v>
      </c>
      <c r="K25" s="629" t="s">
        <v>1063</v>
      </c>
      <c r="L25" s="101"/>
      <c r="M25" s="102"/>
    </row>
    <row r="26" spans="1:13" ht="27" customHeight="1">
      <c r="A26" s="1935"/>
      <c r="B26" s="1948" t="s">
        <v>296</v>
      </c>
      <c r="C26" s="1949"/>
      <c r="D26" s="555"/>
      <c r="E26" s="555"/>
      <c r="F26" s="555">
        <v>1</v>
      </c>
      <c r="G26" s="555">
        <v>15</v>
      </c>
      <c r="H26" s="555"/>
      <c r="I26" s="556"/>
      <c r="J26" s="555">
        <f>D26+F26+H26</f>
        <v>1</v>
      </c>
      <c r="K26" s="557">
        <f>E26+G26+I26</f>
        <v>15</v>
      </c>
      <c r="L26" s="101"/>
      <c r="M26" s="102"/>
    </row>
    <row r="27" spans="1:13" ht="27" customHeight="1">
      <c r="A27" s="1935"/>
      <c r="B27" s="1948" t="s">
        <v>297</v>
      </c>
      <c r="C27" s="1949"/>
      <c r="D27" s="555"/>
      <c r="E27" s="555"/>
      <c r="F27" s="555"/>
      <c r="G27" s="555"/>
      <c r="H27" s="555"/>
      <c r="I27" s="556"/>
      <c r="J27" s="556" t="s">
        <v>867</v>
      </c>
      <c r="K27" s="557" t="s">
        <v>1063</v>
      </c>
      <c r="L27" s="101"/>
      <c r="M27" s="102"/>
    </row>
    <row r="28" spans="1:13" ht="27" customHeight="1" thickBot="1">
      <c r="A28" s="1935"/>
      <c r="B28" s="1952" t="s">
        <v>120</v>
      </c>
      <c r="C28" s="1953"/>
      <c r="D28" s="1019"/>
      <c r="E28" s="1019"/>
      <c r="F28" s="1019"/>
      <c r="G28" s="1019"/>
      <c r="H28" s="1019"/>
      <c r="I28" s="1251"/>
      <c r="J28" s="1251" t="s">
        <v>867</v>
      </c>
      <c r="K28" s="1252" t="s">
        <v>1063</v>
      </c>
      <c r="L28" s="101"/>
      <c r="M28" s="102"/>
    </row>
    <row r="29" spans="1:13" ht="27" customHeight="1" thickBot="1" thickTop="1">
      <c r="A29" s="1936"/>
      <c r="B29" s="1944" t="s">
        <v>599</v>
      </c>
      <c r="C29" s="1945"/>
      <c r="D29" s="354">
        <f aca="true" t="shared" si="3" ref="D29:K29">SUM(D20:D28)</f>
        <v>8</v>
      </c>
      <c r="E29" s="354">
        <f t="shared" si="3"/>
        <v>175</v>
      </c>
      <c r="F29" s="354">
        <f t="shared" si="3"/>
        <v>1</v>
      </c>
      <c r="G29" s="354">
        <f t="shared" si="3"/>
        <v>15</v>
      </c>
      <c r="H29" s="354">
        <f t="shared" si="3"/>
        <v>1</v>
      </c>
      <c r="I29" s="354">
        <f t="shared" si="3"/>
        <v>5</v>
      </c>
      <c r="J29" s="354">
        <f t="shared" si="3"/>
        <v>10</v>
      </c>
      <c r="K29" s="356">
        <f t="shared" si="3"/>
        <v>195</v>
      </c>
      <c r="L29" s="101"/>
      <c r="M29" s="102"/>
    </row>
  </sheetData>
  <sheetProtection/>
  <mergeCells count="40">
    <mergeCell ref="D1:I1"/>
    <mergeCell ref="J1:K2"/>
    <mergeCell ref="D2:E2"/>
    <mergeCell ref="F2:G2"/>
    <mergeCell ref="H2:I2"/>
    <mergeCell ref="D4:D5"/>
    <mergeCell ref="E4:E5"/>
    <mergeCell ref="F4:F5"/>
    <mergeCell ref="G4:G5"/>
    <mergeCell ref="H4:H5"/>
    <mergeCell ref="I4:I5"/>
    <mergeCell ref="J4:J5"/>
    <mergeCell ref="K4:K5"/>
    <mergeCell ref="A6:C6"/>
    <mergeCell ref="A7:A12"/>
    <mergeCell ref="B7:C7"/>
    <mergeCell ref="B8:C8"/>
    <mergeCell ref="B9:C9"/>
    <mergeCell ref="B10:C10"/>
    <mergeCell ref="B11:C11"/>
    <mergeCell ref="B28:C28"/>
    <mergeCell ref="B12:C12"/>
    <mergeCell ref="A13:A19"/>
    <mergeCell ref="B13:C13"/>
    <mergeCell ref="B14:C14"/>
    <mergeCell ref="B15:C15"/>
    <mergeCell ref="B16:C16"/>
    <mergeCell ref="B17:C17"/>
    <mergeCell ref="B18:C18"/>
    <mergeCell ref="B19:C19"/>
    <mergeCell ref="B29:C29"/>
    <mergeCell ref="A20:A29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/>
  <pageMargins left="0.7086614173228347" right="0.1968503937007874" top="0.9448818897637796" bottom="0.1968503937007874" header="0.6299212598425197" footer="0.3937007874015748"/>
  <pageSetup firstPageNumber="28" useFirstPageNumber="1" horizontalDpi="600" verticalDpi="600" orientation="portrait" paperSize="9" scale="99" r:id="rId2"/>
  <headerFooter scaleWithDoc="0" alignWithMargins="0">
    <oddHeader>&amp;L&amp;"ＭＳ Ｐゴシック,太字"14　子ども会の状況</oddHeader>
    <oddFooter>&amp;C&amp;12&amp;P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26"/>
  <sheetViews>
    <sheetView view="pageBreakPreview" zoomScale="120" zoomScaleNormal="115" zoomScaleSheetLayoutView="120" zoomScalePageLayoutView="0" workbookViewId="0" topLeftCell="A1">
      <pane ySplit="4" topLeftCell="A5" activePane="bottomLeft" state="frozen"/>
      <selection pane="topLeft" activeCell="N6" sqref="N6"/>
      <selection pane="bottomLeft" activeCell="N6" sqref="N6"/>
    </sheetView>
  </sheetViews>
  <sheetFormatPr defaultColWidth="10.875" defaultRowHeight="16.5" customHeight="1"/>
  <cols>
    <col min="1" max="1" width="5.25390625" style="116" customWidth="1"/>
    <col min="2" max="2" width="14.125" style="82" customWidth="1"/>
    <col min="3" max="3" width="16.875" style="82" customWidth="1"/>
    <col min="4" max="4" width="7.50390625" style="82" customWidth="1"/>
    <col min="5" max="5" width="7.625" style="82" customWidth="1"/>
    <col min="6" max="10" width="5.625" style="104" customWidth="1"/>
    <col min="11" max="11" width="5.625" style="82" customWidth="1"/>
    <col min="12" max="12" width="5.625" style="104" customWidth="1"/>
    <col min="13" max="13" width="8.125" style="82" customWidth="1"/>
    <col min="14" max="14" width="2.50390625" style="105" customWidth="1"/>
    <col min="15" max="16384" width="10.875" style="105" customWidth="1"/>
  </cols>
  <sheetData>
    <row r="1" ht="16.5" customHeight="1">
      <c r="A1" s="103" t="s">
        <v>298</v>
      </c>
    </row>
    <row r="2" spans="1:13" s="109" customFormat="1" ht="16.5" customHeight="1" thickBot="1">
      <c r="A2" s="100" t="s">
        <v>615</v>
      </c>
      <c r="B2" s="106"/>
      <c r="C2" s="83"/>
      <c r="D2" s="83"/>
      <c r="E2" s="107"/>
      <c r="F2" s="108"/>
      <c r="G2" s="108"/>
      <c r="H2" s="108"/>
      <c r="I2" s="108"/>
      <c r="J2" s="108"/>
      <c r="K2" s="1993"/>
      <c r="L2" s="1993"/>
      <c r="M2" s="1993"/>
    </row>
    <row r="3" spans="1:13" s="109" customFormat="1" ht="15" customHeight="1">
      <c r="A3" s="1994" t="s">
        <v>299</v>
      </c>
      <c r="B3" s="1995"/>
      <c r="C3" s="1998" t="s">
        <v>300</v>
      </c>
      <c r="D3" s="2000" t="s">
        <v>301</v>
      </c>
      <c r="E3" s="2000" t="s">
        <v>302</v>
      </c>
      <c r="F3" s="2002" t="s">
        <v>303</v>
      </c>
      <c r="G3" s="2003"/>
      <c r="H3" s="2003"/>
      <c r="I3" s="2003"/>
      <c r="J3" s="2004"/>
      <c r="K3" s="2005" t="s">
        <v>304</v>
      </c>
      <c r="L3" s="2005" t="s">
        <v>305</v>
      </c>
      <c r="M3" s="2007" t="s">
        <v>158</v>
      </c>
    </row>
    <row r="4" spans="1:13" s="109" customFormat="1" ht="88.5" customHeight="1" thickBot="1">
      <c r="A4" s="1996"/>
      <c r="B4" s="1997"/>
      <c r="C4" s="1999"/>
      <c r="D4" s="2001"/>
      <c r="E4" s="2001"/>
      <c r="F4" s="110" t="s">
        <v>306</v>
      </c>
      <c r="G4" s="111" t="s">
        <v>307</v>
      </c>
      <c r="H4" s="111" t="s">
        <v>308</v>
      </c>
      <c r="I4" s="111" t="s">
        <v>309</v>
      </c>
      <c r="J4" s="111" t="s">
        <v>310</v>
      </c>
      <c r="K4" s="2006"/>
      <c r="L4" s="2006"/>
      <c r="M4" s="2008"/>
    </row>
    <row r="5" spans="1:14" s="958" customFormat="1" ht="25.5" customHeight="1" thickBot="1">
      <c r="A5" s="1981" t="s">
        <v>230</v>
      </c>
      <c r="B5" s="1982"/>
      <c r="C5" s="948">
        <f aca="true" t="shared" si="0" ref="C5:M5">C15+C32+C39</f>
        <v>31</v>
      </c>
      <c r="D5" s="954">
        <f t="shared" si="0"/>
        <v>117</v>
      </c>
      <c r="E5" s="955">
        <f t="shared" si="0"/>
        <v>652</v>
      </c>
      <c r="F5" s="954">
        <f t="shared" si="0"/>
        <v>86</v>
      </c>
      <c r="G5" s="954">
        <f t="shared" si="0"/>
        <v>233</v>
      </c>
      <c r="H5" s="954">
        <f t="shared" si="0"/>
        <v>203</v>
      </c>
      <c r="I5" s="954">
        <f t="shared" si="0"/>
        <v>79</v>
      </c>
      <c r="J5" s="954">
        <f t="shared" si="0"/>
        <v>51</v>
      </c>
      <c r="K5" s="954">
        <f t="shared" si="0"/>
        <v>231</v>
      </c>
      <c r="L5" s="954">
        <f t="shared" si="0"/>
        <v>241</v>
      </c>
      <c r="M5" s="956">
        <f t="shared" si="0"/>
        <v>1124</v>
      </c>
      <c r="N5" s="957"/>
    </row>
    <row r="6" spans="1:13" s="958" customFormat="1" ht="25.5" customHeight="1">
      <c r="A6" s="1974" t="s">
        <v>92</v>
      </c>
      <c r="B6" s="949" t="s">
        <v>18</v>
      </c>
      <c r="C6" s="1103" t="s">
        <v>873</v>
      </c>
      <c r="D6" s="959">
        <v>5</v>
      </c>
      <c r="E6" s="959">
        <f>SUM(F6:J6)</f>
        <v>62</v>
      </c>
      <c r="F6" s="959">
        <v>9</v>
      </c>
      <c r="G6" s="959">
        <v>22</v>
      </c>
      <c r="H6" s="959">
        <v>15</v>
      </c>
      <c r="I6" s="959">
        <v>9</v>
      </c>
      <c r="J6" s="959">
        <v>7</v>
      </c>
      <c r="K6" s="959">
        <v>22</v>
      </c>
      <c r="L6" s="959">
        <v>11</v>
      </c>
      <c r="M6" s="960">
        <f aca="true" t="shared" si="1" ref="M6:M14">SUM(E6,K6:L6)</f>
        <v>95</v>
      </c>
    </row>
    <row r="7" spans="1:13" s="958" customFormat="1" ht="25.5" customHeight="1">
      <c r="A7" s="1974"/>
      <c r="B7" s="1987" t="s">
        <v>97</v>
      </c>
      <c r="C7" s="1104" t="s">
        <v>874</v>
      </c>
      <c r="D7" s="961">
        <v>4</v>
      </c>
      <c r="E7" s="961">
        <f aca="true" t="shared" si="2" ref="E7:E14">SUM(F7:J7)</f>
        <v>38</v>
      </c>
      <c r="F7" s="961">
        <v>12</v>
      </c>
      <c r="G7" s="961">
        <v>14</v>
      </c>
      <c r="H7" s="961">
        <v>8</v>
      </c>
      <c r="I7" s="961">
        <v>4</v>
      </c>
      <c r="J7" s="961"/>
      <c r="K7" s="961">
        <v>9</v>
      </c>
      <c r="L7" s="961">
        <v>8</v>
      </c>
      <c r="M7" s="962">
        <f t="shared" si="1"/>
        <v>55</v>
      </c>
    </row>
    <row r="8" spans="1:13" s="958" customFormat="1" ht="25.5" customHeight="1">
      <c r="A8" s="1974"/>
      <c r="B8" s="1988"/>
      <c r="C8" s="1104" t="s">
        <v>311</v>
      </c>
      <c r="D8" s="961">
        <v>5</v>
      </c>
      <c r="E8" s="961">
        <f t="shared" si="2"/>
        <v>38</v>
      </c>
      <c r="F8" s="961">
        <v>3</v>
      </c>
      <c r="G8" s="961">
        <v>14</v>
      </c>
      <c r="H8" s="961">
        <v>14</v>
      </c>
      <c r="I8" s="961">
        <v>4</v>
      </c>
      <c r="J8" s="961">
        <v>3</v>
      </c>
      <c r="K8" s="961">
        <v>8</v>
      </c>
      <c r="L8" s="961">
        <v>6</v>
      </c>
      <c r="M8" s="962">
        <f t="shared" si="1"/>
        <v>52</v>
      </c>
    </row>
    <row r="9" spans="1:13" s="958" customFormat="1" ht="25.5" customHeight="1">
      <c r="A9" s="1974"/>
      <c r="B9" s="1989"/>
      <c r="C9" s="1104" t="s">
        <v>312</v>
      </c>
      <c r="D9" s="961">
        <v>4</v>
      </c>
      <c r="E9" s="961">
        <f t="shared" si="2"/>
        <v>25</v>
      </c>
      <c r="F9" s="961">
        <v>5</v>
      </c>
      <c r="G9" s="961">
        <v>11</v>
      </c>
      <c r="H9" s="961">
        <v>7</v>
      </c>
      <c r="I9" s="961"/>
      <c r="J9" s="961">
        <v>2</v>
      </c>
      <c r="K9" s="961">
        <v>6</v>
      </c>
      <c r="L9" s="961">
        <v>6</v>
      </c>
      <c r="M9" s="962">
        <f t="shared" si="1"/>
        <v>37</v>
      </c>
    </row>
    <row r="10" spans="1:13" s="958" customFormat="1" ht="25.5" customHeight="1">
      <c r="A10" s="1974"/>
      <c r="B10" s="950" t="s">
        <v>614</v>
      </c>
      <c r="C10" s="1105" t="s">
        <v>313</v>
      </c>
      <c r="D10" s="963">
        <v>5</v>
      </c>
      <c r="E10" s="961">
        <f t="shared" si="2"/>
        <v>27</v>
      </c>
      <c r="F10" s="963">
        <v>2</v>
      </c>
      <c r="G10" s="963">
        <v>12</v>
      </c>
      <c r="H10" s="963">
        <v>9</v>
      </c>
      <c r="I10" s="963">
        <v>1</v>
      </c>
      <c r="J10" s="963">
        <v>3</v>
      </c>
      <c r="K10" s="963">
        <v>8</v>
      </c>
      <c r="L10" s="964">
        <v>10</v>
      </c>
      <c r="M10" s="962">
        <f t="shared" si="1"/>
        <v>45</v>
      </c>
    </row>
    <row r="11" spans="1:13" s="967" customFormat="1" ht="25.5" customHeight="1">
      <c r="A11" s="1983"/>
      <c r="B11" s="1984" t="s">
        <v>21</v>
      </c>
      <c r="C11" s="1106" t="s">
        <v>613</v>
      </c>
      <c r="D11" s="965">
        <v>1</v>
      </c>
      <c r="E11" s="965">
        <f t="shared" si="2"/>
        <v>2</v>
      </c>
      <c r="F11" s="966"/>
      <c r="G11" s="966"/>
      <c r="H11" s="966">
        <v>2</v>
      </c>
      <c r="I11" s="966"/>
      <c r="J11" s="961"/>
      <c r="K11" s="961">
        <v>2</v>
      </c>
      <c r="L11" s="961">
        <v>3</v>
      </c>
      <c r="M11" s="962">
        <f t="shared" si="1"/>
        <v>7</v>
      </c>
    </row>
    <row r="12" spans="1:13" s="967" customFormat="1" ht="25.5" customHeight="1">
      <c r="A12" s="1974"/>
      <c r="B12" s="1985"/>
      <c r="C12" s="1107" t="s">
        <v>612</v>
      </c>
      <c r="D12" s="961">
        <v>4</v>
      </c>
      <c r="E12" s="961">
        <f t="shared" si="2"/>
        <v>28</v>
      </c>
      <c r="F12" s="961">
        <v>4</v>
      </c>
      <c r="G12" s="968">
        <v>15</v>
      </c>
      <c r="H12" s="968">
        <v>8</v>
      </c>
      <c r="I12" s="968"/>
      <c r="J12" s="961">
        <v>1</v>
      </c>
      <c r="K12" s="961">
        <v>7</v>
      </c>
      <c r="L12" s="961">
        <v>10</v>
      </c>
      <c r="M12" s="962">
        <f t="shared" si="1"/>
        <v>45</v>
      </c>
    </row>
    <row r="13" spans="1:13" s="967" customFormat="1" ht="25.5" customHeight="1">
      <c r="A13" s="1974"/>
      <c r="B13" s="1985"/>
      <c r="C13" s="1107" t="s">
        <v>611</v>
      </c>
      <c r="D13" s="961">
        <v>4</v>
      </c>
      <c r="E13" s="961">
        <f t="shared" si="2"/>
        <v>15</v>
      </c>
      <c r="F13" s="961">
        <v>3</v>
      </c>
      <c r="G13" s="968">
        <v>8</v>
      </c>
      <c r="H13" s="968">
        <v>3</v>
      </c>
      <c r="I13" s="968"/>
      <c r="J13" s="961">
        <v>1</v>
      </c>
      <c r="K13" s="961">
        <v>7</v>
      </c>
      <c r="L13" s="961">
        <v>7</v>
      </c>
      <c r="M13" s="962">
        <f t="shared" si="1"/>
        <v>29</v>
      </c>
    </row>
    <row r="14" spans="1:13" s="967" customFormat="1" ht="25.5" customHeight="1" thickBot="1">
      <c r="A14" s="1974"/>
      <c r="B14" s="1986"/>
      <c r="C14" s="1108" t="s">
        <v>610</v>
      </c>
      <c r="D14" s="987">
        <v>1</v>
      </c>
      <c r="E14" s="987">
        <f t="shared" si="2"/>
        <v>1</v>
      </c>
      <c r="F14" s="987"/>
      <c r="G14" s="988"/>
      <c r="H14" s="988"/>
      <c r="I14" s="988">
        <v>1</v>
      </c>
      <c r="J14" s="987"/>
      <c r="K14" s="987">
        <v>1</v>
      </c>
      <c r="L14" s="987">
        <v>2</v>
      </c>
      <c r="M14" s="989">
        <f t="shared" si="1"/>
        <v>4</v>
      </c>
    </row>
    <row r="15" spans="1:13" s="967" customFormat="1" ht="25.5" customHeight="1" thickBot="1" thickTop="1">
      <c r="A15" s="1974"/>
      <c r="B15" s="983" t="s">
        <v>20</v>
      </c>
      <c r="C15" s="984">
        <f>COUNTA(C6:C14)</f>
        <v>9</v>
      </c>
      <c r="D15" s="985">
        <f aca="true" t="shared" si="3" ref="D15:M15">SUM(D6:D14)</f>
        <v>33</v>
      </c>
      <c r="E15" s="985">
        <f t="shared" si="3"/>
        <v>236</v>
      </c>
      <c r="F15" s="985">
        <f t="shared" si="3"/>
        <v>38</v>
      </c>
      <c r="G15" s="985">
        <f t="shared" si="3"/>
        <v>96</v>
      </c>
      <c r="H15" s="985">
        <f t="shared" si="3"/>
        <v>66</v>
      </c>
      <c r="I15" s="985">
        <f t="shared" si="3"/>
        <v>19</v>
      </c>
      <c r="J15" s="985">
        <f t="shared" si="3"/>
        <v>17</v>
      </c>
      <c r="K15" s="985">
        <f t="shared" si="3"/>
        <v>70</v>
      </c>
      <c r="L15" s="985">
        <f t="shared" si="3"/>
        <v>63</v>
      </c>
      <c r="M15" s="986">
        <f t="shared" si="3"/>
        <v>369</v>
      </c>
    </row>
    <row r="16" spans="1:13" s="967" customFormat="1" ht="25.5" customHeight="1">
      <c r="A16" s="1973" t="s">
        <v>9</v>
      </c>
      <c r="B16" s="1990" t="s">
        <v>801</v>
      </c>
      <c r="C16" s="1109" t="s">
        <v>875</v>
      </c>
      <c r="D16" s="969">
        <v>4</v>
      </c>
      <c r="E16" s="969">
        <f aca="true" t="shared" si="4" ref="E16:E31">SUM(F16:J16)</f>
        <v>45</v>
      </c>
      <c r="F16" s="970">
        <v>12</v>
      </c>
      <c r="G16" s="970">
        <v>15</v>
      </c>
      <c r="H16" s="970">
        <v>14</v>
      </c>
      <c r="I16" s="970">
        <v>4</v>
      </c>
      <c r="J16" s="970"/>
      <c r="K16" s="971">
        <v>9</v>
      </c>
      <c r="L16" s="971">
        <v>10</v>
      </c>
      <c r="M16" s="972">
        <f aca="true" t="shared" si="5" ref="M16:M31">SUM(E16,K16:L16)</f>
        <v>64</v>
      </c>
    </row>
    <row r="17" spans="1:13" s="967" customFormat="1" ht="25.5" customHeight="1">
      <c r="A17" s="1974"/>
      <c r="B17" s="1991"/>
      <c r="C17" s="1110">
        <v>10</v>
      </c>
      <c r="D17" s="961">
        <v>5</v>
      </c>
      <c r="E17" s="961">
        <f t="shared" si="4"/>
        <v>20</v>
      </c>
      <c r="F17" s="973">
        <v>3</v>
      </c>
      <c r="G17" s="973">
        <v>7</v>
      </c>
      <c r="H17" s="973">
        <v>7</v>
      </c>
      <c r="I17" s="973">
        <v>1</v>
      </c>
      <c r="J17" s="973">
        <v>2</v>
      </c>
      <c r="K17" s="974">
        <v>11</v>
      </c>
      <c r="L17" s="974">
        <v>8</v>
      </c>
      <c r="M17" s="975">
        <f t="shared" si="5"/>
        <v>39</v>
      </c>
    </row>
    <row r="18" spans="1:13" s="967" customFormat="1" ht="25.5" customHeight="1">
      <c r="A18" s="1974"/>
      <c r="B18" s="1991"/>
      <c r="C18" s="1110">
        <v>15</v>
      </c>
      <c r="D18" s="961">
        <v>4</v>
      </c>
      <c r="E18" s="961">
        <f t="shared" si="4"/>
        <v>20</v>
      </c>
      <c r="F18" s="973">
        <v>5</v>
      </c>
      <c r="G18" s="973">
        <v>5</v>
      </c>
      <c r="H18" s="973">
        <v>8</v>
      </c>
      <c r="I18" s="973">
        <v>2</v>
      </c>
      <c r="J18" s="973"/>
      <c r="K18" s="974">
        <v>10</v>
      </c>
      <c r="L18" s="974">
        <v>5</v>
      </c>
      <c r="M18" s="975">
        <f t="shared" si="5"/>
        <v>35</v>
      </c>
    </row>
    <row r="19" spans="1:13" s="967" customFormat="1" ht="25.5" customHeight="1">
      <c r="A19" s="1974"/>
      <c r="B19" s="1991"/>
      <c r="C19" s="1110">
        <v>16</v>
      </c>
      <c r="D19" s="961">
        <v>4</v>
      </c>
      <c r="E19" s="961">
        <f t="shared" si="4"/>
        <v>21</v>
      </c>
      <c r="F19" s="973">
        <v>3</v>
      </c>
      <c r="G19" s="973">
        <v>9</v>
      </c>
      <c r="H19" s="973">
        <v>7</v>
      </c>
      <c r="I19" s="973">
        <v>2</v>
      </c>
      <c r="J19" s="973"/>
      <c r="K19" s="974">
        <v>3</v>
      </c>
      <c r="L19" s="974">
        <v>9</v>
      </c>
      <c r="M19" s="975">
        <f t="shared" si="5"/>
        <v>33</v>
      </c>
    </row>
    <row r="20" spans="1:13" s="967" customFormat="1" ht="25.5" customHeight="1">
      <c r="A20" s="1974"/>
      <c r="B20" s="1991"/>
      <c r="C20" s="1110">
        <v>19</v>
      </c>
      <c r="D20" s="961">
        <v>3</v>
      </c>
      <c r="E20" s="961">
        <f t="shared" si="4"/>
        <v>9</v>
      </c>
      <c r="F20" s="973"/>
      <c r="G20" s="973"/>
      <c r="H20" s="973">
        <v>2</v>
      </c>
      <c r="I20" s="973">
        <v>4</v>
      </c>
      <c r="J20" s="973">
        <v>3</v>
      </c>
      <c r="K20" s="974">
        <v>4</v>
      </c>
      <c r="L20" s="974">
        <v>6</v>
      </c>
      <c r="M20" s="975">
        <f t="shared" si="5"/>
        <v>19</v>
      </c>
    </row>
    <row r="21" spans="1:13" s="967" customFormat="1" ht="25.5" customHeight="1">
      <c r="A21" s="1974"/>
      <c r="B21" s="1991"/>
      <c r="C21" s="1110">
        <v>20</v>
      </c>
      <c r="D21" s="961">
        <v>3</v>
      </c>
      <c r="E21" s="961">
        <f t="shared" si="4"/>
        <v>5</v>
      </c>
      <c r="F21" s="973"/>
      <c r="G21" s="973">
        <v>1</v>
      </c>
      <c r="H21" s="973">
        <v>2</v>
      </c>
      <c r="I21" s="973">
        <v>2</v>
      </c>
      <c r="J21" s="973"/>
      <c r="K21" s="974">
        <v>4</v>
      </c>
      <c r="L21" s="974">
        <v>5</v>
      </c>
      <c r="M21" s="975">
        <f t="shared" si="5"/>
        <v>14</v>
      </c>
    </row>
    <row r="22" spans="1:13" s="967" customFormat="1" ht="25.5" customHeight="1">
      <c r="A22" s="1974"/>
      <c r="B22" s="1991"/>
      <c r="C22" s="1110">
        <v>25</v>
      </c>
      <c r="D22" s="961">
        <v>4</v>
      </c>
      <c r="E22" s="961">
        <f t="shared" si="4"/>
        <v>19</v>
      </c>
      <c r="F22" s="973">
        <v>1</v>
      </c>
      <c r="G22" s="973">
        <v>4</v>
      </c>
      <c r="H22" s="973">
        <v>9</v>
      </c>
      <c r="I22" s="973"/>
      <c r="J22" s="973">
        <v>5</v>
      </c>
      <c r="K22" s="974">
        <v>8</v>
      </c>
      <c r="L22" s="974">
        <v>8</v>
      </c>
      <c r="M22" s="975">
        <f t="shared" si="5"/>
        <v>35</v>
      </c>
    </row>
    <row r="23" spans="1:13" s="967" customFormat="1" ht="25.5" customHeight="1">
      <c r="A23" s="1974"/>
      <c r="B23" s="1991"/>
      <c r="C23" s="1110">
        <v>28</v>
      </c>
      <c r="D23" s="961">
        <v>4</v>
      </c>
      <c r="E23" s="961">
        <f t="shared" si="4"/>
        <v>22</v>
      </c>
      <c r="F23" s="973">
        <v>1</v>
      </c>
      <c r="G23" s="973">
        <v>10</v>
      </c>
      <c r="H23" s="973">
        <v>10</v>
      </c>
      <c r="I23" s="973"/>
      <c r="J23" s="973">
        <v>1</v>
      </c>
      <c r="K23" s="974">
        <v>13</v>
      </c>
      <c r="L23" s="974">
        <v>11</v>
      </c>
      <c r="M23" s="975">
        <f t="shared" si="5"/>
        <v>46</v>
      </c>
    </row>
    <row r="24" spans="1:13" s="967" customFormat="1" ht="25.5" customHeight="1">
      <c r="A24" s="1974"/>
      <c r="B24" s="1991"/>
      <c r="C24" s="1110">
        <v>30</v>
      </c>
      <c r="D24" s="961">
        <v>5</v>
      </c>
      <c r="E24" s="961">
        <f t="shared" si="4"/>
        <v>25</v>
      </c>
      <c r="F24" s="973">
        <v>3</v>
      </c>
      <c r="G24" s="973">
        <v>2</v>
      </c>
      <c r="H24" s="973">
        <v>8</v>
      </c>
      <c r="I24" s="973">
        <v>8</v>
      </c>
      <c r="J24" s="973">
        <v>4</v>
      </c>
      <c r="K24" s="974">
        <v>8</v>
      </c>
      <c r="L24" s="974">
        <v>5</v>
      </c>
      <c r="M24" s="975">
        <f t="shared" si="5"/>
        <v>38</v>
      </c>
    </row>
    <row r="25" spans="1:13" s="967" customFormat="1" ht="25.5" customHeight="1">
      <c r="A25" s="1974"/>
      <c r="B25" s="1991"/>
      <c r="C25" s="1110">
        <v>33</v>
      </c>
      <c r="D25" s="961">
        <v>5</v>
      </c>
      <c r="E25" s="961">
        <f t="shared" si="4"/>
        <v>25</v>
      </c>
      <c r="F25" s="973">
        <v>2</v>
      </c>
      <c r="G25" s="973">
        <v>14</v>
      </c>
      <c r="H25" s="973">
        <v>7</v>
      </c>
      <c r="I25" s="973">
        <v>1</v>
      </c>
      <c r="J25" s="973">
        <v>1</v>
      </c>
      <c r="K25" s="974">
        <v>7</v>
      </c>
      <c r="L25" s="974">
        <v>5</v>
      </c>
      <c r="M25" s="975">
        <f t="shared" si="5"/>
        <v>37</v>
      </c>
    </row>
    <row r="26" spans="1:13" s="967" customFormat="1" ht="25.5" customHeight="1">
      <c r="A26" s="1974"/>
      <c r="B26" s="1991"/>
      <c r="C26" s="1111">
        <v>34</v>
      </c>
      <c r="D26" s="959">
        <v>4</v>
      </c>
      <c r="E26" s="959">
        <f t="shared" si="4"/>
        <v>18</v>
      </c>
      <c r="F26" s="976">
        <v>1</v>
      </c>
      <c r="G26" s="976">
        <v>10</v>
      </c>
      <c r="H26" s="976">
        <v>4</v>
      </c>
      <c r="I26" s="976">
        <v>3</v>
      </c>
      <c r="J26" s="976"/>
      <c r="K26" s="977">
        <v>14</v>
      </c>
      <c r="L26" s="977">
        <v>7</v>
      </c>
      <c r="M26" s="978">
        <f t="shared" si="5"/>
        <v>39</v>
      </c>
    </row>
    <row r="27" spans="1:13" s="967" customFormat="1" ht="25.5" customHeight="1">
      <c r="A27" s="1974"/>
      <c r="B27" s="1991"/>
      <c r="C27" s="1110">
        <v>36</v>
      </c>
      <c r="D27" s="961">
        <v>1</v>
      </c>
      <c r="E27" s="961">
        <f t="shared" si="4"/>
        <v>2</v>
      </c>
      <c r="F27" s="973"/>
      <c r="G27" s="973"/>
      <c r="H27" s="973"/>
      <c r="I27" s="973"/>
      <c r="J27" s="973">
        <v>2</v>
      </c>
      <c r="K27" s="974">
        <v>5</v>
      </c>
      <c r="L27" s="974">
        <v>37</v>
      </c>
      <c r="M27" s="975">
        <f t="shared" si="5"/>
        <v>44</v>
      </c>
    </row>
    <row r="28" spans="1:15" s="967" customFormat="1" ht="25.5" customHeight="1">
      <c r="A28" s="1974"/>
      <c r="B28" s="1992"/>
      <c r="C28" s="1110" t="s">
        <v>764</v>
      </c>
      <c r="D28" s="961">
        <v>3</v>
      </c>
      <c r="E28" s="961">
        <f t="shared" si="4"/>
        <v>5</v>
      </c>
      <c r="F28" s="973"/>
      <c r="G28" s="973"/>
      <c r="H28" s="973">
        <v>2</v>
      </c>
      <c r="I28" s="973">
        <v>1</v>
      </c>
      <c r="J28" s="973">
        <v>2</v>
      </c>
      <c r="K28" s="974">
        <v>6</v>
      </c>
      <c r="L28" s="974">
        <v>6</v>
      </c>
      <c r="M28" s="975">
        <f t="shared" si="5"/>
        <v>17</v>
      </c>
      <c r="O28" s="979"/>
    </row>
    <row r="29" spans="1:13" s="967" customFormat="1" ht="25.5" customHeight="1">
      <c r="A29" s="1974"/>
      <c r="B29" s="951" t="s">
        <v>41</v>
      </c>
      <c r="C29" s="1112" t="s">
        <v>804</v>
      </c>
      <c r="D29" s="961">
        <v>3</v>
      </c>
      <c r="E29" s="961">
        <f t="shared" si="4"/>
        <v>15</v>
      </c>
      <c r="F29" s="961">
        <v>2</v>
      </c>
      <c r="G29" s="968">
        <v>7</v>
      </c>
      <c r="H29" s="968">
        <v>6</v>
      </c>
      <c r="I29" s="968"/>
      <c r="J29" s="961"/>
      <c r="K29" s="961">
        <v>6</v>
      </c>
      <c r="L29" s="961">
        <v>10</v>
      </c>
      <c r="M29" s="975">
        <f t="shared" si="5"/>
        <v>31</v>
      </c>
    </row>
    <row r="30" spans="1:13" s="967" customFormat="1" ht="25.5" customHeight="1">
      <c r="A30" s="1974"/>
      <c r="B30" s="952" t="s">
        <v>51</v>
      </c>
      <c r="C30" s="1112" t="s">
        <v>314</v>
      </c>
      <c r="D30" s="961">
        <v>5</v>
      </c>
      <c r="E30" s="961">
        <f t="shared" si="4"/>
        <v>28</v>
      </c>
      <c r="F30" s="968">
        <v>4</v>
      </c>
      <c r="G30" s="968">
        <v>13</v>
      </c>
      <c r="H30" s="968">
        <v>3</v>
      </c>
      <c r="I30" s="968">
        <v>6</v>
      </c>
      <c r="J30" s="961">
        <v>2</v>
      </c>
      <c r="K30" s="961">
        <v>7</v>
      </c>
      <c r="L30" s="961">
        <v>6</v>
      </c>
      <c r="M30" s="975">
        <f t="shared" si="5"/>
        <v>41</v>
      </c>
    </row>
    <row r="31" spans="1:13" s="967" customFormat="1" ht="25.5" customHeight="1" thickBot="1">
      <c r="A31" s="1974"/>
      <c r="B31" s="994" t="s">
        <v>52</v>
      </c>
      <c r="C31" s="1113" t="s">
        <v>315</v>
      </c>
      <c r="D31" s="987">
        <v>5</v>
      </c>
      <c r="E31" s="987">
        <f t="shared" si="4"/>
        <v>22</v>
      </c>
      <c r="F31" s="988">
        <v>2</v>
      </c>
      <c r="G31" s="988">
        <v>8</v>
      </c>
      <c r="H31" s="988">
        <v>6</v>
      </c>
      <c r="I31" s="988">
        <v>4</v>
      </c>
      <c r="J31" s="987">
        <v>2</v>
      </c>
      <c r="K31" s="987">
        <v>8</v>
      </c>
      <c r="L31" s="987">
        <v>5</v>
      </c>
      <c r="M31" s="995">
        <f t="shared" si="5"/>
        <v>35</v>
      </c>
    </row>
    <row r="32" spans="1:13" s="967" customFormat="1" ht="25.5" customHeight="1" thickBot="1" thickTop="1">
      <c r="A32" s="1975"/>
      <c r="B32" s="990" t="s">
        <v>20</v>
      </c>
      <c r="C32" s="991">
        <f>COUNTA(C16:C31)</f>
        <v>16</v>
      </c>
      <c r="D32" s="992">
        <f aca="true" t="shared" si="6" ref="D32:M32">SUM(D16:D31)</f>
        <v>62</v>
      </c>
      <c r="E32" s="992">
        <f t="shared" si="6"/>
        <v>301</v>
      </c>
      <c r="F32" s="992">
        <f t="shared" si="6"/>
        <v>39</v>
      </c>
      <c r="G32" s="992">
        <f t="shared" si="6"/>
        <v>105</v>
      </c>
      <c r="H32" s="992">
        <f t="shared" si="6"/>
        <v>95</v>
      </c>
      <c r="I32" s="992">
        <f t="shared" si="6"/>
        <v>38</v>
      </c>
      <c r="J32" s="992">
        <f t="shared" si="6"/>
        <v>24</v>
      </c>
      <c r="K32" s="992">
        <f t="shared" si="6"/>
        <v>123</v>
      </c>
      <c r="L32" s="992">
        <f t="shared" si="6"/>
        <v>143</v>
      </c>
      <c r="M32" s="993">
        <f t="shared" si="6"/>
        <v>567</v>
      </c>
    </row>
    <row r="33" spans="1:13" s="967" customFormat="1" ht="25.5" customHeight="1">
      <c r="A33" s="1976" t="s">
        <v>316</v>
      </c>
      <c r="B33" s="953" t="s">
        <v>25</v>
      </c>
      <c r="C33" s="1114" t="s">
        <v>317</v>
      </c>
      <c r="D33" s="969">
        <v>5</v>
      </c>
      <c r="E33" s="969">
        <f aca="true" t="shared" si="7" ref="E33:E38">SUM(F33:J33)</f>
        <v>17</v>
      </c>
      <c r="F33" s="980">
        <v>1</v>
      </c>
      <c r="G33" s="980">
        <v>3</v>
      </c>
      <c r="H33" s="980">
        <v>5</v>
      </c>
      <c r="I33" s="980">
        <v>4</v>
      </c>
      <c r="J33" s="969">
        <v>4</v>
      </c>
      <c r="K33" s="969">
        <v>8</v>
      </c>
      <c r="L33" s="969">
        <v>7</v>
      </c>
      <c r="M33" s="981">
        <f aca="true" t="shared" si="8" ref="M33:M38">SUM(E33,K33:L33)</f>
        <v>32</v>
      </c>
    </row>
    <row r="34" spans="1:13" s="967" customFormat="1" ht="25.5" customHeight="1">
      <c r="A34" s="1977"/>
      <c r="B34" s="952" t="s">
        <v>318</v>
      </c>
      <c r="C34" s="1115" t="s">
        <v>319</v>
      </c>
      <c r="D34" s="961">
        <v>5</v>
      </c>
      <c r="E34" s="961">
        <f t="shared" si="7"/>
        <v>27</v>
      </c>
      <c r="F34" s="968">
        <v>5</v>
      </c>
      <c r="G34" s="968">
        <v>5</v>
      </c>
      <c r="H34" s="968">
        <v>9</v>
      </c>
      <c r="I34" s="968">
        <v>6</v>
      </c>
      <c r="J34" s="961">
        <v>2</v>
      </c>
      <c r="K34" s="961">
        <v>6</v>
      </c>
      <c r="L34" s="961">
        <v>6</v>
      </c>
      <c r="M34" s="962">
        <f t="shared" si="8"/>
        <v>39</v>
      </c>
    </row>
    <row r="35" spans="1:13" s="967" customFormat="1" ht="25.5" customHeight="1">
      <c r="A35" s="1977"/>
      <c r="B35" s="952" t="s">
        <v>113</v>
      </c>
      <c r="C35" s="1115" t="s">
        <v>320</v>
      </c>
      <c r="D35" s="961">
        <v>3</v>
      </c>
      <c r="E35" s="961">
        <f t="shared" si="7"/>
        <v>21</v>
      </c>
      <c r="F35" s="968"/>
      <c r="G35" s="968">
        <v>6</v>
      </c>
      <c r="H35" s="968">
        <v>11</v>
      </c>
      <c r="I35" s="968">
        <v>4</v>
      </c>
      <c r="J35" s="961"/>
      <c r="K35" s="961">
        <v>8</v>
      </c>
      <c r="L35" s="961">
        <v>7</v>
      </c>
      <c r="M35" s="962">
        <f t="shared" si="8"/>
        <v>36</v>
      </c>
    </row>
    <row r="36" spans="1:13" s="967" customFormat="1" ht="25.5" customHeight="1">
      <c r="A36" s="1977"/>
      <c r="B36" s="952" t="s">
        <v>264</v>
      </c>
      <c r="C36" s="1116" t="s">
        <v>321</v>
      </c>
      <c r="D36" s="963">
        <v>5</v>
      </c>
      <c r="E36" s="961">
        <f t="shared" si="7"/>
        <v>22</v>
      </c>
      <c r="F36" s="982">
        <v>2</v>
      </c>
      <c r="G36" s="982">
        <v>4</v>
      </c>
      <c r="H36" s="982">
        <v>7</v>
      </c>
      <c r="I36" s="982">
        <v>5</v>
      </c>
      <c r="J36" s="963">
        <v>4</v>
      </c>
      <c r="K36" s="963">
        <v>12</v>
      </c>
      <c r="L36" s="963">
        <v>5</v>
      </c>
      <c r="M36" s="962">
        <f t="shared" si="8"/>
        <v>39</v>
      </c>
    </row>
    <row r="37" spans="1:13" s="967" customFormat="1" ht="25.5" customHeight="1">
      <c r="A37" s="1977"/>
      <c r="B37" s="1979" t="s">
        <v>609</v>
      </c>
      <c r="C37" s="1116" t="s">
        <v>805</v>
      </c>
      <c r="D37" s="963">
        <v>3</v>
      </c>
      <c r="E37" s="961">
        <f t="shared" si="7"/>
        <v>27</v>
      </c>
      <c r="F37" s="982"/>
      <c r="G37" s="982">
        <v>14</v>
      </c>
      <c r="H37" s="982">
        <v>10</v>
      </c>
      <c r="I37" s="982">
        <v>3</v>
      </c>
      <c r="J37" s="963"/>
      <c r="K37" s="963">
        <v>2</v>
      </c>
      <c r="L37" s="963">
        <v>4</v>
      </c>
      <c r="M37" s="962">
        <f t="shared" si="8"/>
        <v>33</v>
      </c>
    </row>
    <row r="38" spans="1:13" s="967" customFormat="1" ht="25.5" customHeight="1" thickBot="1">
      <c r="A38" s="1977"/>
      <c r="B38" s="1980"/>
      <c r="C38" s="1117" t="s">
        <v>806</v>
      </c>
      <c r="D38" s="987">
        <v>1</v>
      </c>
      <c r="E38" s="987">
        <f t="shared" si="7"/>
        <v>1</v>
      </c>
      <c r="F38" s="988">
        <v>1</v>
      </c>
      <c r="G38" s="988"/>
      <c r="H38" s="988"/>
      <c r="I38" s="988"/>
      <c r="J38" s="987"/>
      <c r="K38" s="987">
        <v>2</v>
      </c>
      <c r="L38" s="987">
        <v>6</v>
      </c>
      <c r="M38" s="989">
        <f t="shared" si="8"/>
        <v>9</v>
      </c>
    </row>
    <row r="39" spans="1:13" s="967" customFormat="1" ht="25.5" customHeight="1" thickBot="1" thickTop="1">
      <c r="A39" s="1978"/>
      <c r="B39" s="990" t="s">
        <v>20</v>
      </c>
      <c r="C39" s="991">
        <f>COUNTA(C33:C38)</f>
        <v>6</v>
      </c>
      <c r="D39" s="992">
        <f>SUM(D33:D38)</f>
        <v>22</v>
      </c>
      <c r="E39" s="992">
        <f aca="true" t="shared" si="9" ref="E39:M39">SUM(E33:E38)</f>
        <v>115</v>
      </c>
      <c r="F39" s="992">
        <f>SUM(F33:F38)</f>
        <v>9</v>
      </c>
      <c r="G39" s="992">
        <f t="shared" si="9"/>
        <v>32</v>
      </c>
      <c r="H39" s="992">
        <f t="shared" si="9"/>
        <v>42</v>
      </c>
      <c r="I39" s="992">
        <f t="shared" si="9"/>
        <v>22</v>
      </c>
      <c r="J39" s="992">
        <f t="shared" si="9"/>
        <v>10</v>
      </c>
      <c r="K39" s="992">
        <f t="shared" si="9"/>
        <v>38</v>
      </c>
      <c r="L39" s="992">
        <f t="shared" si="9"/>
        <v>35</v>
      </c>
      <c r="M39" s="993">
        <f t="shared" si="9"/>
        <v>188</v>
      </c>
    </row>
    <row r="40" spans="1:11" ht="14.25" customHeight="1">
      <c r="A40" s="112"/>
      <c r="B40" s="113"/>
      <c r="C40" s="83"/>
      <c r="D40" s="83"/>
      <c r="E40" s="83"/>
      <c r="F40" s="108"/>
      <c r="G40" s="108"/>
      <c r="H40" s="108"/>
      <c r="I40" s="108"/>
      <c r="J40" s="108"/>
      <c r="K40" s="83"/>
    </row>
    <row r="41" spans="1:2" ht="16.5" customHeight="1">
      <c r="A41" s="114"/>
      <c r="B41" s="115"/>
    </row>
    <row r="42" spans="1:2" ht="16.5" customHeight="1">
      <c r="A42" s="114"/>
      <c r="B42" s="115"/>
    </row>
    <row r="43" spans="1:2" ht="16.5" customHeight="1">
      <c r="A43" s="114"/>
      <c r="B43" s="115"/>
    </row>
    <row r="44" spans="1:2" ht="16.5" customHeight="1">
      <c r="A44" s="114"/>
      <c r="B44" s="115"/>
    </row>
    <row r="45" spans="1:2" ht="16.5" customHeight="1">
      <c r="A45" s="114"/>
      <c r="B45" s="115"/>
    </row>
    <row r="46" spans="1:2" ht="16.5" customHeight="1">
      <c r="A46" s="114"/>
      <c r="B46" s="115"/>
    </row>
    <row r="47" spans="1:2" ht="16.5" customHeight="1">
      <c r="A47" s="114"/>
      <c r="B47" s="115"/>
    </row>
    <row r="48" spans="1:2" ht="16.5" customHeight="1">
      <c r="A48" s="114"/>
      <c r="B48" s="115"/>
    </row>
    <row r="49" spans="1:9" ht="16.5" customHeight="1">
      <c r="A49" s="114"/>
      <c r="B49" s="115"/>
      <c r="G49" s="108"/>
      <c r="H49" s="108"/>
      <c r="I49" s="108"/>
    </row>
    <row r="50" spans="2:13" ht="16.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2:13" ht="16.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2:13" ht="16.5" customHeight="1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2:13" ht="16.5" customHeight="1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2:13" ht="16.5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2:13" ht="16.5" customHeight="1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2:13" ht="16.5" customHeight="1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2:13" ht="16.5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2:13" ht="16.5" customHeight="1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2:13" ht="16.5" customHeight="1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2:13" ht="16.5" customHeight="1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</row>
    <row r="61" spans="2:13" ht="16.5" customHeight="1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2:13" ht="16.5" customHeight="1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2:13" ht="16.5" customHeight="1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</row>
    <row r="64" spans="2:13" ht="16.5" customHeight="1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</row>
    <row r="65" spans="2:13" ht="16.5" customHeight="1"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2:13" ht="16.5" customHeight="1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</row>
    <row r="67" spans="2:13" ht="16.5" customHeight="1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</row>
    <row r="68" spans="2:13" ht="16.5" customHeight="1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2:13" ht="16.5" customHeight="1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2:13" ht="16.5" customHeight="1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</row>
    <row r="71" spans="2:13" ht="16.5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</row>
    <row r="72" spans="2:13" ht="16.5" customHeight="1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  <row r="73" spans="2:13" ht="16.5" customHeight="1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</row>
    <row r="74" spans="2:13" ht="16.5" customHeight="1"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</row>
    <row r="75" spans="2:13" ht="16.5" customHeight="1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</row>
    <row r="76" spans="2:13" ht="16.5" customHeight="1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</row>
    <row r="77" spans="2:13" ht="16.5" customHeight="1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2:13" ht="16.5" customHeight="1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</row>
    <row r="79" spans="2:13" ht="16.5" customHeight="1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</row>
    <row r="80" spans="2:13" ht="16.5" customHeight="1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</row>
    <row r="81" spans="2:13" ht="16.5" customHeight="1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</row>
    <row r="82" spans="2:13" ht="16.5" customHeight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</row>
    <row r="83" spans="2:13" ht="16.5" customHeight="1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pans="2:13" ht="16.5" customHeight="1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</row>
    <row r="85" spans="2:13" ht="16.5" customHeight="1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</row>
    <row r="86" spans="2:13" ht="16.5" customHeight="1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</row>
    <row r="87" spans="2:13" ht="16.5" customHeight="1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</row>
    <row r="88" spans="2:13" ht="16.5" customHeight="1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</row>
    <row r="89" spans="2:13" ht="16.5" customHeight="1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</row>
    <row r="90" spans="2:13" ht="16.5" customHeight="1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</row>
    <row r="91" spans="2:13" ht="16.5" customHeight="1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</row>
    <row r="92" spans="2:13" ht="16.5" customHeight="1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</row>
    <row r="93" spans="2:13" ht="16.5" customHeight="1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</row>
    <row r="94" spans="2:13" ht="16.5" customHeight="1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</row>
    <row r="95" spans="2:13" ht="16.5" customHeight="1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</row>
    <row r="96" spans="2:13" ht="16.5" customHeight="1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</row>
    <row r="97" spans="2:13" ht="16.5" customHeight="1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</row>
    <row r="98" spans="2:13" ht="16.5" customHeight="1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</row>
    <row r="99" spans="2:13" ht="16.5" customHeight="1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2:13" ht="16.5" customHeight="1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</row>
    <row r="101" spans="2:13" ht="16.5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</row>
    <row r="102" spans="2:13" ht="16.5" customHeight="1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</row>
    <row r="103" spans="2:13" ht="16.5" customHeight="1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</row>
    <row r="104" spans="2:13" ht="16.5" customHeight="1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</row>
    <row r="105" spans="2:13" ht="16.5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</row>
    <row r="106" spans="2:13" ht="16.5" customHeight="1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</row>
    <row r="107" spans="2:13" ht="16.5" customHeight="1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</row>
    <row r="108" spans="2:13" ht="16.5" customHeight="1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</row>
    <row r="109" spans="2:13" ht="16.5" customHeight="1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</row>
    <row r="110" spans="2:13" ht="16.5" customHeight="1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</row>
    <row r="111" spans="2:13" ht="16.5" customHeight="1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</row>
    <row r="112" spans="2:13" ht="16.5" customHeight="1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</row>
    <row r="113" spans="2:13" ht="16.5" customHeight="1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</row>
    <row r="114" spans="2:13" ht="16.5" customHeight="1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</row>
    <row r="115" spans="2:13" ht="16.5" customHeight="1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</row>
    <row r="116" spans="2:13" ht="16.5" customHeight="1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</row>
    <row r="117" spans="2:13" ht="16.5" customHeight="1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</row>
    <row r="118" spans="2:13" ht="16.5" customHeight="1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</row>
    <row r="119" spans="2:13" ht="16.5" customHeight="1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</row>
    <row r="120" spans="2:13" ht="16.5" customHeight="1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</row>
    <row r="121" spans="2:13" ht="16.5" customHeight="1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</row>
    <row r="122" spans="2:13" ht="16.5" customHeight="1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</row>
    <row r="123" spans="2:13" ht="16.5" customHeight="1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</row>
    <row r="124" spans="2:13" ht="16.5" customHeight="1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</row>
    <row r="125" spans="2:13" ht="16.5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</row>
    <row r="126" spans="2:13" ht="16.5" customHeight="1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</row>
    <row r="127" spans="2:13" ht="16.5" customHeight="1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</row>
    <row r="128" spans="2:13" ht="16.5" customHeight="1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</row>
    <row r="129" spans="2:13" ht="16.5" customHeight="1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</row>
    <row r="130" spans="2:13" ht="16.5" customHeight="1"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</row>
    <row r="131" spans="2:13" ht="16.5" customHeight="1"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</row>
    <row r="132" spans="2:13" ht="16.5" customHeight="1"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</row>
    <row r="133" spans="2:13" ht="16.5" customHeight="1"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</row>
    <row r="134" spans="2:13" ht="16.5" customHeight="1"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</row>
    <row r="135" spans="2:13" ht="16.5" customHeight="1"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</row>
    <row r="136" spans="2:13" ht="16.5" customHeight="1"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</row>
    <row r="137" spans="2:13" ht="16.5" customHeight="1"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</row>
    <row r="138" spans="2:13" ht="16.5" customHeight="1"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</row>
    <row r="139" spans="2:13" ht="16.5" customHeight="1"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</row>
    <row r="140" spans="2:13" ht="16.5" customHeight="1"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</row>
    <row r="141" spans="2:13" ht="16.5" customHeight="1"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</row>
    <row r="142" spans="2:13" ht="16.5" customHeight="1"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</row>
    <row r="143" spans="2:13" ht="16.5" customHeight="1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</row>
    <row r="144" spans="2:13" ht="16.5" customHeight="1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</row>
    <row r="145" spans="2:13" ht="16.5" customHeight="1"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</row>
    <row r="146" spans="2:13" ht="16.5" customHeight="1"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</row>
    <row r="147" spans="2:13" ht="16.5" customHeight="1"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</row>
    <row r="148" spans="2:13" ht="16.5" customHeight="1"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</row>
    <row r="149" spans="2:13" ht="16.5" customHeight="1"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</row>
    <row r="150" spans="2:13" ht="16.5" customHeight="1"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</row>
    <row r="151" spans="2:13" ht="16.5" customHeight="1"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</row>
    <row r="152" spans="2:13" ht="16.5" customHeight="1"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</row>
    <row r="153" spans="2:13" ht="16.5" customHeight="1"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</row>
    <row r="154" spans="2:13" ht="16.5" customHeight="1"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</row>
    <row r="155" spans="2:13" ht="16.5" customHeight="1"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</row>
    <row r="156" spans="2:13" ht="16.5" customHeight="1"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</row>
    <row r="157" spans="2:13" ht="16.5" customHeight="1"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</row>
    <row r="158" spans="2:13" ht="16.5" customHeight="1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</row>
    <row r="159" spans="2:13" ht="16.5" customHeight="1"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</row>
    <row r="160" spans="2:13" ht="16.5" customHeight="1"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</row>
    <row r="161" spans="2:13" ht="16.5" customHeight="1"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</row>
    <row r="162" spans="2:13" ht="16.5" customHeight="1"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</row>
    <row r="163" spans="2:13" ht="16.5" customHeight="1"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</row>
    <row r="164" spans="2:13" ht="16.5" customHeight="1"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</row>
    <row r="165" spans="2:13" ht="16.5" customHeight="1"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</row>
    <row r="166" spans="2:13" ht="16.5" customHeight="1"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</row>
    <row r="167" spans="2:13" ht="16.5" customHeight="1"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</row>
    <row r="168" spans="2:13" ht="16.5" customHeight="1"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</row>
    <row r="169" spans="2:13" ht="16.5" customHeight="1"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</row>
    <row r="170" spans="2:13" ht="16.5" customHeight="1"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</row>
    <row r="171" spans="2:13" ht="16.5" customHeight="1"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</row>
    <row r="172" spans="2:13" ht="16.5" customHeight="1"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</row>
    <row r="173" spans="2:13" ht="16.5" customHeight="1"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</row>
    <row r="174" spans="2:13" ht="16.5" customHeight="1"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</row>
    <row r="175" spans="2:13" ht="16.5" customHeight="1"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</row>
    <row r="176" spans="2:13" ht="16.5" customHeight="1"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</row>
    <row r="177" spans="2:13" ht="16.5" customHeight="1"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</row>
    <row r="178" spans="2:13" ht="16.5" customHeight="1"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</row>
    <row r="179" spans="2:13" ht="16.5" customHeight="1"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</row>
    <row r="180" spans="2:13" ht="16.5" customHeight="1"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</row>
    <row r="181" spans="2:13" ht="16.5" customHeight="1"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</row>
    <row r="182" spans="2:13" ht="16.5" customHeight="1"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</row>
    <row r="183" spans="2:13" ht="16.5" customHeight="1"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</row>
    <row r="184" spans="2:13" ht="16.5" customHeight="1"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</row>
    <row r="185" spans="2:13" ht="16.5" customHeight="1"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</row>
    <row r="186" spans="2:13" ht="16.5" customHeight="1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</row>
    <row r="187" spans="2:13" ht="16.5" customHeight="1"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</row>
    <row r="188" spans="2:13" ht="16.5" customHeight="1"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</row>
    <row r="189" spans="2:13" ht="16.5" customHeight="1"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</row>
    <row r="190" spans="2:13" ht="16.5" customHeight="1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</row>
    <row r="191" spans="2:13" ht="16.5" customHeight="1"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</row>
    <row r="192" spans="2:13" ht="16.5" customHeight="1"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</row>
    <row r="193" spans="2:13" ht="16.5" customHeight="1"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</row>
    <row r="194" spans="2:13" ht="16.5" customHeight="1"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</row>
    <row r="195" spans="2:13" ht="16.5" customHeight="1"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</row>
    <row r="196" spans="2:13" ht="16.5" customHeight="1"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</row>
    <row r="197" spans="1:2" ht="16.5" customHeight="1">
      <c r="A197" s="114"/>
      <c r="B197" s="115"/>
    </row>
    <row r="198" spans="1:2" ht="16.5" customHeight="1">
      <c r="A198" s="114"/>
      <c r="B198" s="115"/>
    </row>
    <row r="199" spans="1:2" ht="16.5" customHeight="1">
      <c r="A199" s="114"/>
      <c r="B199" s="115"/>
    </row>
    <row r="200" spans="1:2" ht="16.5" customHeight="1">
      <c r="A200" s="114"/>
      <c r="B200" s="115"/>
    </row>
    <row r="201" spans="1:2" ht="16.5" customHeight="1">
      <c r="A201" s="114"/>
      <c r="B201" s="115"/>
    </row>
    <row r="202" spans="1:2" ht="16.5" customHeight="1">
      <c r="A202" s="114"/>
      <c r="B202" s="115"/>
    </row>
    <row r="203" spans="1:2" ht="16.5" customHeight="1">
      <c r="A203" s="114"/>
      <c r="B203" s="115"/>
    </row>
    <row r="204" spans="1:2" ht="16.5" customHeight="1">
      <c r="A204" s="114"/>
      <c r="B204" s="115"/>
    </row>
    <row r="205" spans="1:2" ht="16.5" customHeight="1">
      <c r="A205" s="114"/>
      <c r="B205" s="115"/>
    </row>
    <row r="206" spans="1:2" ht="16.5" customHeight="1">
      <c r="A206" s="114"/>
      <c r="B206" s="115"/>
    </row>
    <row r="207" spans="1:2" ht="16.5" customHeight="1">
      <c r="A207" s="114"/>
      <c r="B207" s="115"/>
    </row>
    <row r="208" spans="1:2" ht="16.5" customHeight="1">
      <c r="A208" s="114"/>
      <c r="B208" s="115"/>
    </row>
    <row r="209" spans="1:2" ht="16.5" customHeight="1">
      <c r="A209" s="114"/>
      <c r="B209" s="115"/>
    </row>
    <row r="210" spans="1:2" ht="16.5" customHeight="1">
      <c r="A210" s="114"/>
      <c r="B210" s="115"/>
    </row>
    <row r="211" spans="1:2" ht="16.5" customHeight="1">
      <c r="A211" s="114"/>
      <c r="B211" s="115"/>
    </row>
    <row r="212" spans="1:2" ht="16.5" customHeight="1">
      <c r="A212" s="114"/>
      <c r="B212" s="115"/>
    </row>
    <row r="213" spans="1:2" ht="16.5" customHeight="1">
      <c r="A213" s="114"/>
      <c r="B213" s="115"/>
    </row>
    <row r="214" spans="1:2" ht="16.5" customHeight="1">
      <c r="A214" s="114"/>
      <c r="B214" s="115"/>
    </row>
    <row r="215" spans="1:2" ht="16.5" customHeight="1">
      <c r="A215" s="114"/>
      <c r="B215" s="115"/>
    </row>
    <row r="216" spans="1:2" ht="16.5" customHeight="1">
      <c r="A216" s="114"/>
      <c r="B216" s="115"/>
    </row>
    <row r="217" spans="1:2" ht="16.5" customHeight="1">
      <c r="A217" s="114"/>
      <c r="B217" s="115"/>
    </row>
    <row r="218" spans="1:2" ht="16.5" customHeight="1">
      <c r="A218" s="114"/>
      <c r="B218" s="115"/>
    </row>
    <row r="219" spans="1:2" ht="16.5" customHeight="1">
      <c r="A219" s="114"/>
      <c r="B219" s="115"/>
    </row>
    <row r="220" spans="1:2" ht="16.5" customHeight="1">
      <c r="A220" s="114"/>
      <c r="B220" s="115"/>
    </row>
    <row r="221" spans="1:2" ht="16.5" customHeight="1">
      <c r="A221" s="114"/>
      <c r="B221" s="115"/>
    </row>
    <row r="222" spans="1:2" ht="16.5" customHeight="1">
      <c r="A222" s="114"/>
      <c r="B222" s="115"/>
    </row>
    <row r="223" spans="1:2" ht="16.5" customHeight="1">
      <c r="A223" s="114"/>
      <c r="B223" s="115"/>
    </row>
    <row r="224" spans="1:2" ht="16.5" customHeight="1">
      <c r="A224" s="114"/>
      <c r="B224" s="115"/>
    </row>
    <row r="225" spans="1:2" ht="16.5" customHeight="1">
      <c r="A225" s="114"/>
      <c r="B225" s="115"/>
    </row>
    <row r="226" spans="1:2" ht="16.5" customHeight="1">
      <c r="A226" s="114"/>
      <c r="B226" s="115"/>
    </row>
    <row r="227" spans="1:2" ht="16.5" customHeight="1">
      <c r="A227" s="114"/>
      <c r="B227" s="115"/>
    </row>
    <row r="228" spans="1:2" ht="16.5" customHeight="1">
      <c r="A228" s="114"/>
      <c r="B228" s="115"/>
    </row>
    <row r="229" spans="1:2" ht="16.5" customHeight="1">
      <c r="A229" s="114"/>
      <c r="B229" s="115"/>
    </row>
    <row r="230" spans="1:2" ht="16.5" customHeight="1">
      <c r="A230" s="114"/>
      <c r="B230" s="115"/>
    </row>
    <row r="231" spans="1:2" ht="16.5" customHeight="1">
      <c r="A231" s="114"/>
      <c r="B231" s="115"/>
    </row>
    <row r="232" spans="1:2" ht="16.5" customHeight="1">
      <c r="A232" s="114"/>
      <c r="B232" s="115"/>
    </row>
    <row r="233" spans="1:2" ht="16.5" customHeight="1">
      <c r="A233" s="114"/>
      <c r="B233" s="115"/>
    </row>
    <row r="234" spans="1:2" ht="16.5" customHeight="1">
      <c r="A234" s="114"/>
      <c r="B234" s="115"/>
    </row>
    <row r="235" spans="1:2" ht="16.5" customHeight="1">
      <c r="A235" s="114"/>
      <c r="B235" s="115"/>
    </row>
    <row r="236" spans="1:2" ht="16.5" customHeight="1">
      <c r="A236" s="114"/>
      <c r="B236" s="115"/>
    </row>
    <row r="237" spans="1:2" ht="16.5" customHeight="1">
      <c r="A237" s="114"/>
      <c r="B237" s="115"/>
    </row>
    <row r="238" spans="1:2" ht="16.5" customHeight="1">
      <c r="A238" s="114"/>
      <c r="B238" s="115"/>
    </row>
    <row r="239" spans="1:2" ht="16.5" customHeight="1">
      <c r="A239" s="114"/>
      <c r="B239" s="115"/>
    </row>
    <row r="240" spans="1:2" ht="16.5" customHeight="1">
      <c r="A240" s="114"/>
      <c r="B240" s="115"/>
    </row>
    <row r="241" spans="1:2" ht="16.5" customHeight="1">
      <c r="A241" s="114"/>
      <c r="B241" s="115"/>
    </row>
    <row r="242" spans="1:2" ht="16.5" customHeight="1">
      <c r="A242" s="114"/>
      <c r="B242" s="115"/>
    </row>
    <row r="243" spans="1:2" ht="16.5" customHeight="1">
      <c r="A243" s="114"/>
      <c r="B243" s="115"/>
    </row>
    <row r="244" spans="1:2" ht="16.5" customHeight="1">
      <c r="A244" s="114"/>
      <c r="B244" s="115"/>
    </row>
    <row r="245" spans="1:2" ht="16.5" customHeight="1">
      <c r="A245" s="114"/>
      <c r="B245" s="115"/>
    </row>
    <row r="246" spans="1:2" ht="16.5" customHeight="1">
      <c r="A246" s="114"/>
      <c r="B246" s="115"/>
    </row>
    <row r="247" spans="1:2" ht="16.5" customHeight="1">
      <c r="A247" s="114"/>
      <c r="B247" s="115"/>
    </row>
    <row r="248" spans="1:2" ht="16.5" customHeight="1">
      <c r="A248" s="114"/>
      <c r="B248" s="115"/>
    </row>
    <row r="249" spans="1:2" ht="16.5" customHeight="1">
      <c r="A249" s="114"/>
      <c r="B249" s="115"/>
    </row>
    <row r="250" spans="1:2" ht="16.5" customHeight="1">
      <c r="A250" s="114"/>
      <c r="B250" s="115"/>
    </row>
    <row r="251" spans="1:2" ht="16.5" customHeight="1">
      <c r="A251" s="114"/>
      <c r="B251" s="115"/>
    </row>
    <row r="252" spans="1:2" ht="16.5" customHeight="1">
      <c r="A252" s="114"/>
      <c r="B252" s="115"/>
    </row>
    <row r="253" spans="1:2" ht="16.5" customHeight="1">
      <c r="A253" s="114"/>
      <c r="B253" s="115"/>
    </row>
    <row r="254" spans="1:2" ht="16.5" customHeight="1">
      <c r="A254" s="114"/>
      <c r="B254" s="115"/>
    </row>
    <row r="255" spans="1:2" ht="16.5" customHeight="1">
      <c r="A255" s="114"/>
      <c r="B255" s="115"/>
    </row>
    <row r="256" spans="1:2" ht="16.5" customHeight="1">
      <c r="A256" s="114"/>
      <c r="B256" s="115"/>
    </row>
    <row r="257" spans="1:2" ht="16.5" customHeight="1">
      <c r="A257" s="114"/>
      <c r="B257" s="115"/>
    </row>
    <row r="258" spans="1:2" ht="16.5" customHeight="1">
      <c r="A258" s="114"/>
      <c r="B258" s="115"/>
    </row>
    <row r="259" spans="1:2" ht="16.5" customHeight="1">
      <c r="A259" s="114"/>
      <c r="B259" s="115"/>
    </row>
    <row r="260" spans="1:2" ht="16.5" customHeight="1">
      <c r="A260" s="114"/>
      <c r="B260" s="115"/>
    </row>
    <row r="261" spans="1:2" ht="16.5" customHeight="1">
      <c r="A261" s="114"/>
      <c r="B261" s="115"/>
    </row>
    <row r="262" spans="1:2" ht="16.5" customHeight="1">
      <c r="A262" s="114"/>
      <c r="B262" s="115"/>
    </row>
    <row r="263" spans="1:2" ht="16.5" customHeight="1">
      <c r="A263" s="114"/>
      <c r="B263" s="115"/>
    </row>
    <row r="264" spans="1:2" ht="16.5" customHeight="1">
      <c r="A264" s="114"/>
      <c r="B264" s="115"/>
    </row>
    <row r="265" spans="1:2" ht="16.5" customHeight="1">
      <c r="A265" s="114"/>
      <c r="B265" s="115"/>
    </row>
    <row r="266" spans="1:2" ht="16.5" customHeight="1">
      <c r="A266" s="114"/>
      <c r="B266" s="115"/>
    </row>
    <row r="267" spans="1:2" ht="16.5" customHeight="1">
      <c r="A267" s="114"/>
      <c r="B267" s="115"/>
    </row>
    <row r="268" spans="1:2" ht="16.5" customHeight="1">
      <c r="A268" s="114"/>
      <c r="B268" s="115"/>
    </row>
    <row r="269" spans="1:2" ht="16.5" customHeight="1">
      <c r="A269" s="114"/>
      <c r="B269" s="115"/>
    </row>
    <row r="270" spans="1:2" ht="16.5" customHeight="1">
      <c r="A270" s="114"/>
      <c r="B270" s="115"/>
    </row>
    <row r="271" spans="1:2" ht="16.5" customHeight="1">
      <c r="A271" s="114"/>
      <c r="B271" s="115"/>
    </row>
    <row r="272" spans="1:2" ht="16.5" customHeight="1">
      <c r="A272" s="114"/>
      <c r="B272" s="115"/>
    </row>
    <row r="273" spans="1:2" ht="16.5" customHeight="1">
      <c r="A273" s="114"/>
      <c r="B273" s="115"/>
    </row>
    <row r="274" spans="1:2" ht="16.5" customHeight="1">
      <c r="A274" s="114"/>
      <c r="B274" s="115"/>
    </row>
    <row r="275" spans="1:2" ht="16.5" customHeight="1">
      <c r="A275" s="114"/>
      <c r="B275" s="115"/>
    </row>
    <row r="276" spans="1:2" ht="16.5" customHeight="1">
      <c r="A276" s="114"/>
      <c r="B276" s="115"/>
    </row>
    <row r="277" spans="1:2" ht="16.5" customHeight="1">
      <c r="A277" s="114"/>
      <c r="B277" s="115"/>
    </row>
    <row r="278" spans="1:2" ht="16.5" customHeight="1">
      <c r="A278" s="114"/>
      <c r="B278" s="115"/>
    </row>
    <row r="279" spans="1:2" ht="16.5" customHeight="1">
      <c r="A279" s="114"/>
      <c r="B279" s="115"/>
    </row>
    <row r="280" spans="1:2" ht="16.5" customHeight="1">
      <c r="A280" s="114"/>
      <c r="B280" s="115"/>
    </row>
    <row r="281" spans="1:2" ht="16.5" customHeight="1">
      <c r="A281" s="114"/>
      <c r="B281" s="115"/>
    </row>
    <row r="282" spans="1:2" ht="16.5" customHeight="1">
      <c r="A282" s="114"/>
      <c r="B282" s="115"/>
    </row>
    <row r="283" spans="1:2" ht="16.5" customHeight="1">
      <c r="A283" s="114"/>
      <c r="B283" s="115"/>
    </row>
    <row r="284" spans="1:2" ht="16.5" customHeight="1">
      <c r="A284" s="114"/>
      <c r="B284" s="115"/>
    </row>
    <row r="285" spans="1:2" ht="16.5" customHeight="1">
      <c r="A285" s="114"/>
      <c r="B285" s="115"/>
    </row>
    <row r="286" spans="1:2" ht="16.5" customHeight="1">
      <c r="A286" s="114"/>
      <c r="B286" s="115"/>
    </row>
    <row r="287" spans="1:2" ht="16.5" customHeight="1">
      <c r="A287" s="114"/>
      <c r="B287" s="115"/>
    </row>
    <row r="288" spans="1:2" ht="16.5" customHeight="1">
      <c r="A288" s="114"/>
      <c r="B288" s="115"/>
    </row>
    <row r="289" spans="1:2" ht="16.5" customHeight="1">
      <c r="A289" s="114"/>
      <c r="B289" s="115"/>
    </row>
    <row r="290" spans="1:2" ht="16.5" customHeight="1">
      <c r="A290" s="114"/>
      <c r="B290" s="115"/>
    </row>
    <row r="291" spans="1:2" ht="16.5" customHeight="1">
      <c r="A291" s="114"/>
      <c r="B291" s="115"/>
    </row>
    <row r="292" spans="1:2" ht="16.5" customHeight="1">
      <c r="A292" s="114"/>
      <c r="B292" s="115"/>
    </row>
    <row r="293" spans="1:2" ht="16.5" customHeight="1">
      <c r="A293" s="114"/>
      <c r="B293" s="115"/>
    </row>
    <row r="294" spans="1:2" ht="16.5" customHeight="1">
      <c r="A294" s="114"/>
      <c r="B294" s="115"/>
    </row>
    <row r="295" spans="1:2" ht="16.5" customHeight="1">
      <c r="A295" s="114"/>
      <c r="B295" s="115"/>
    </row>
    <row r="296" spans="1:2" ht="16.5" customHeight="1">
      <c r="A296" s="114"/>
      <c r="B296" s="115"/>
    </row>
    <row r="297" spans="1:2" ht="16.5" customHeight="1">
      <c r="A297" s="114"/>
      <c r="B297" s="115"/>
    </row>
    <row r="298" spans="1:2" ht="16.5" customHeight="1">
      <c r="A298" s="114"/>
      <c r="B298" s="115"/>
    </row>
    <row r="299" spans="1:2" ht="16.5" customHeight="1">
      <c r="A299" s="114"/>
      <c r="B299" s="115"/>
    </row>
    <row r="300" spans="1:2" ht="16.5" customHeight="1">
      <c r="A300" s="114"/>
      <c r="B300" s="115"/>
    </row>
    <row r="301" spans="1:2" ht="16.5" customHeight="1">
      <c r="A301" s="114"/>
      <c r="B301" s="115"/>
    </row>
    <row r="302" spans="1:2" ht="16.5" customHeight="1">
      <c r="A302" s="114"/>
      <c r="B302" s="115"/>
    </row>
    <row r="303" spans="1:2" ht="16.5" customHeight="1">
      <c r="A303" s="114"/>
      <c r="B303" s="115"/>
    </row>
    <row r="304" spans="1:2" ht="16.5" customHeight="1">
      <c r="A304" s="114"/>
      <c r="B304" s="115"/>
    </row>
    <row r="305" spans="1:2" ht="16.5" customHeight="1">
      <c r="A305" s="114"/>
      <c r="B305" s="115"/>
    </row>
    <row r="306" spans="1:2" ht="16.5" customHeight="1">
      <c r="A306" s="114"/>
      <c r="B306" s="115"/>
    </row>
    <row r="307" spans="1:2" ht="16.5" customHeight="1">
      <c r="A307" s="114"/>
      <c r="B307" s="115"/>
    </row>
    <row r="308" spans="1:2" ht="16.5" customHeight="1">
      <c r="A308" s="114"/>
      <c r="B308" s="115"/>
    </row>
    <row r="309" spans="1:2" ht="16.5" customHeight="1">
      <c r="A309" s="114"/>
      <c r="B309" s="115"/>
    </row>
    <row r="310" spans="1:2" ht="16.5" customHeight="1">
      <c r="A310" s="114"/>
      <c r="B310" s="115"/>
    </row>
    <row r="311" spans="1:2" ht="16.5" customHeight="1">
      <c r="A311" s="114"/>
      <c r="B311" s="115"/>
    </row>
    <row r="312" spans="1:2" ht="16.5" customHeight="1">
      <c r="A312" s="114"/>
      <c r="B312" s="115"/>
    </row>
    <row r="313" spans="1:2" ht="16.5" customHeight="1">
      <c r="A313" s="114"/>
      <c r="B313" s="115"/>
    </row>
    <row r="314" spans="1:2" ht="16.5" customHeight="1">
      <c r="A314" s="114"/>
      <c r="B314" s="115"/>
    </row>
    <row r="315" spans="1:2" ht="16.5" customHeight="1">
      <c r="A315" s="114"/>
      <c r="B315" s="115"/>
    </row>
    <row r="316" spans="1:2" ht="16.5" customHeight="1">
      <c r="A316" s="114"/>
      <c r="B316" s="115"/>
    </row>
    <row r="317" spans="1:2" ht="16.5" customHeight="1">
      <c r="A317" s="114"/>
      <c r="B317" s="115"/>
    </row>
    <row r="318" spans="1:2" ht="16.5" customHeight="1">
      <c r="A318" s="114"/>
      <c r="B318" s="115"/>
    </row>
    <row r="319" spans="1:2" ht="16.5" customHeight="1">
      <c r="A319" s="114"/>
      <c r="B319" s="115"/>
    </row>
    <row r="320" spans="1:2" ht="16.5" customHeight="1">
      <c r="A320" s="114"/>
      <c r="B320" s="115"/>
    </row>
    <row r="321" spans="1:2" ht="16.5" customHeight="1">
      <c r="A321" s="114"/>
      <c r="B321" s="115"/>
    </row>
    <row r="322" spans="1:2" ht="16.5" customHeight="1">
      <c r="A322" s="114"/>
      <c r="B322" s="115"/>
    </row>
    <row r="323" spans="1:2" ht="16.5" customHeight="1">
      <c r="A323" s="114"/>
      <c r="B323" s="115"/>
    </row>
    <row r="324" spans="1:2" ht="16.5" customHeight="1">
      <c r="A324" s="114"/>
      <c r="B324" s="115"/>
    </row>
    <row r="325" spans="1:2" ht="16.5" customHeight="1">
      <c r="A325" s="114"/>
      <c r="B325" s="115"/>
    </row>
    <row r="326" spans="1:2" ht="16.5" customHeight="1">
      <c r="A326" s="114"/>
      <c r="B326" s="115"/>
    </row>
  </sheetData>
  <sheetProtection/>
  <mergeCells count="17">
    <mergeCell ref="K2:M2"/>
    <mergeCell ref="A3:B4"/>
    <mergeCell ref="C3:C4"/>
    <mergeCell ref="D3:D4"/>
    <mergeCell ref="E3:E4"/>
    <mergeCell ref="F3:J3"/>
    <mergeCell ref="K3:K4"/>
    <mergeCell ref="L3:L4"/>
    <mergeCell ref="M3:M4"/>
    <mergeCell ref="A16:A32"/>
    <mergeCell ref="A33:A39"/>
    <mergeCell ref="B37:B38"/>
    <mergeCell ref="A5:B5"/>
    <mergeCell ref="A6:A15"/>
    <mergeCell ref="B11:B14"/>
    <mergeCell ref="B7:B9"/>
    <mergeCell ref="B16:B28"/>
  </mergeCells>
  <printOptions/>
  <pageMargins left="0.8267716535433072" right="0.1968503937007874" top="0.4724409448818898" bottom="0.1968503937007874" header="0.7086614173228347" footer="0.2362204724409449"/>
  <pageSetup firstPageNumber="29" useFirstPageNumber="1" horizontalDpi="600" verticalDpi="600" orientation="portrait" paperSize="9" scale="84" r:id="rId1"/>
  <headerFooter scaleWithDoc="0" alignWithMargins="0">
    <oddFooter>&amp;C&amp;12&amp;P</oddFooter>
  </headerFooter>
  <rowBreaks count="1" manualBreakCount="1">
    <brk id="32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328"/>
  <sheetViews>
    <sheetView view="pageBreakPreview" zoomScale="110" zoomScaleNormal="110" zoomScaleSheetLayoutView="110" zoomScalePageLayoutView="0" workbookViewId="0" topLeftCell="A1">
      <selection activeCell="N6" sqref="N6"/>
    </sheetView>
  </sheetViews>
  <sheetFormatPr defaultColWidth="9.00390625" defaultRowHeight="19.5" customHeight="1"/>
  <cols>
    <col min="1" max="2" width="11.00390625" style="83" customWidth="1"/>
    <col min="3" max="3" width="7.75390625" style="83" customWidth="1"/>
    <col min="4" max="4" width="5.75390625" style="83" customWidth="1"/>
    <col min="5" max="5" width="6.375" style="117" customWidth="1"/>
    <col min="6" max="10" width="4.625" style="83" customWidth="1"/>
    <col min="11" max="11" width="5.625" style="83" customWidth="1"/>
    <col min="12" max="14" width="4.625" style="83" customWidth="1"/>
    <col min="15" max="15" width="8.00390625" style="83" customWidth="1"/>
    <col min="16" max="16" width="0.6171875" style="102" customWidth="1"/>
    <col min="17" max="16384" width="9.00390625" style="102" customWidth="1"/>
  </cols>
  <sheetData>
    <row r="1" spans="1:15" s="105" customFormat="1" ht="16.5" customHeight="1">
      <c r="A1" s="325" t="s">
        <v>298</v>
      </c>
      <c r="B1" s="237"/>
      <c r="C1" s="237"/>
      <c r="D1" s="237"/>
      <c r="E1" s="237"/>
      <c r="F1" s="244"/>
      <c r="G1" s="244"/>
      <c r="H1" s="244"/>
      <c r="I1" s="244"/>
      <c r="J1" s="244"/>
      <c r="K1" s="237"/>
      <c r="L1" s="244"/>
      <c r="M1" s="237"/>
      <c r="N1" s="326"/>
      <c r="O1" s="326"/>
    </row>
    <row r="2" spans="1:15" ht="19.5" customHeight="1" thickBot="1">
      <c r="A2" s="327" t="s">
        <v>620</v>
      </c>
      <c r="B2" s="328"/>
      <c r="C2" s="328"/>
      <c r="D2" s="1063"/>
      <c r="E2" s="329"/>
      <c r="F2" s="1063"/>
      <c r="G2" s="1063"/>
      <c r="H2" s="1063"/>
      <c r="I2" s="1063"/>
      <c r="J2" s="1063"/>
      <c r="K2" s="1063"/>
      <c r="L2" s="1063"/>
      <c r="M2" s="1063"/>
      <c r="N2" s="1063"/>
      <c r="O2" s="1063"/>
    </row>
    <row r="3" spans="1:15" s="109" customFormat="1" ht="19.5" customHeight="1">
      <c r="A3" s="2015" t="s">
        <v>322</v>
      </c>
      <c r="B3" s="2016"/>
      <c r="C3" s="2019" t="s">
        <v>323</v>
      </c>
      <c r="D3" s="2031" t="s">
        <v>324</v>
      </c>
      <c r="E3" s="2022" t="s">
        <v>302</v>
      </c>
      <c r="F3" s="2024" t="s">
        <v>710</v>
      </c>
      <c r="G3" s="2024"/>
      <c r="H3" s="2024"/>
      <c r="I3" s="2024"/>
      <c r="J3" s="2025"/>
      <c r="K3" s="2022" t="s">
        <v>304</v>
      </c>
      <c r="L3" s="2024" t="s">
        <v>711</v>
      </c>
      <c r="M3" s="2024"/>
      <c r="N3" s="2025"/>
      <c r="O3" s="2027" t="s">
        <v>325</v>
      </c>
    </row>
    <row r="4" spans="1:15" s="109" customFormat="1" ht="116.25" customHeight="1" thickBot="1">
      <c r="A4" s="2017"/>
      <c r="B4" s="2018"/>
      <c r="C4" s="2020"/>
      <c r="D4" s="2026"/>
      <c r="E4" s="2023"/>
      <c r="F4" s="330" t="s">
        <v>326</v>
      </c>
      <c r="G4" s="330" t="s">
        <v>327</v>
      </c>
      <c r="H4" s="331" t="s">
        <v>619</v>
      </c>
      <c r="I4" s="332" t="s">
        <v>618</v>
      </c>
      <c r="J4" s="331" t="s">
        <v>617</v>
      </c>
      <c r="K4" s="2026"/>
      <c r="L4" s="332" t="s">
        <v>616</v>
      </c>
      <c r="M4" s="332" t="s">
        <v>708</v>
      </c>
      <c r="N4" s="332" t="s">
        <v>709</v>
      </c>
      <c r="O4" s="2028"/>
    </row>
    <row r="5" spans="1:15" s="109" customFormat="1" ht="27" customHeight="1" thickBot="1">
      <c r="A5" s="2029" t="s">
        <v>203</v>
      </c>
      <c r="B5" s="2030"/>
      <c r="C5" s="996">
        <f>COUNTA(C6:C10)</f>
        <v>5</v>
      </c>
      <c r="D5" s="997">
        <f aca="true" t="shared" si="0" ref="D5:O5">SUM(D6:D10)</f>
        <v>12</v>
      </c>
      <c r="E5" s="997">
        <f t="shared" si="0"/>
        <v>26</v>
      </c>
      <c r="F5" s="997">
        <f t="shared" si="0"/>
        <v>1</v>
      </c>
      <c r="G5" s="997">
        <f t="shared" si="0"/>
        <v>7</v>
      </c>
      <c r="H5" s="997">
        <f t="shared" si="0"/>
        <v>12</v>
      </c>
      <c r="I5" s="997">
        <f t="shared" si="0"/>
        <v>3</v>
      </c>
      <c r="J5" s="997">
        <f t="shared" si="0"/>
        <v>3</v>
      </c>
      <c r="K5" s="997">
        <f t="shared" si="0"/>
        <v>46</v>
      </c>
      <c r="L5" s="997">
        <f t="shared" si="0"/>
        <v>12</v>
      </c>
      <c r="M5" s="997">
        <f t="shared" si="0"/>
        <v>18</v>
      </c>
      <c r="N5" s="997">
        <f t="shared" si="0"/>
        <v>16</v>
      </c>
      <c r="O5" s="998">
        <f t="shared" si="0"/>
        <v>72</v>
      </c>
    </row>
    <row r="6" spans="1:16" s="119" customFormat="1" ht="27" customHeight="1">
      <c r="A6" s="2021" t="s">
        <v>807</v>
      </c>
      <c r="B6" s="2009" t="s">
        <v>100</v>
      </c>
      <c r="C6" s="999" t="s">
        <v>950</v>
      </c>
      <c r="D6" s="965"/>
      <c r="E6" s="1000">
        <f>SUM(F6:J6)</f>
        <v>0</v>
      </c>
      <c r="F6" s="965"/>
      <c r="G6" s="965"/>
      <c r="H6" s="966"/>
      <c r="I6" s="966"/>
      <c r="J6" s="966"/>
      <c r="K6" s="965">
        <f>SUM(L6:N6)</f>
        <v>2</v>
      </c>
      <c r="L6" s="966"/>
      <c r="M6" s="966"/>
      <c r="N6" s="966">
        <v>2</v>
      </c>
      <c r="O6" s="1001">
        <f>SUM(E6,K6)</f>
        <v>2</v>
      </c>
      <c r="P6" s="118"/>
    </row>
    <row r="7" spans="1:16" s="119" customFormat="1" ht="27" customHeight="1" thickBot="1">
      <c r="A7" s="2012"/>
      <c r="B7" s="2010"/>
      <c r="C7" s="1101" t="s">
        <v>328</v>
      </c>
      <c r="D7" s="1002">
        <v>3</v>
      </c>
      <c r="E7" s="1003">
        <f>SUM(F7:J7)</f>
        <v>10</v>
      </c>
      <c r="F7" s="1002">
        <v>1</v>
      </c>
      <c r="G7" s="1002">
        <v>5</v>
      </c>
      <c r="H7" s="1004">
        <v>4</v>
      </c>
      <c r="I7" s="1004"/>
      <c r="J7" s="1004"/>
      <c r="K7" s="1005">
        <f>SUM(L7:N7)</f>
        <v>8</v>
      </c>
      <c r="L7" s="1004">
        <v>3</v>
      </c>
      <c r="M7" s="1004">
        <v>4</v>
      </c>
      <c r="N7" s="1004">
        <v>1</v>
      </c>
      <c r="O7" s="1006">
        <f>SUM(E7,K7)</f>
        <v>18</v>
      </c>
      <c r="P7" s="118"/>
    </row>
    <row r="8" spans="1:16" s="119" customFormat="1" ht="27" customHeight="1">
      <c r="A8" s="2011" t="s">
        <v>197</v>
      </c>
      <c r="B8" s="2013" t="s">
        <v>103</v>
      </c>
      <c r="C8" s="1102" t="s">
        <v>329</v>
      </c>
      <c r="D8" s="1007">
        <v>4</v>
      </c>
      <c r="E8" s="1008">
        <f>SUM(F8:J8)</f>
        <v>8</v>
      </c>
      <c r="F8" s="1007"/>
      <c r="G8" s="1007">
        <v>1</v>
      </c>
      <c r="H8" s="1009">
        <v>5</v>
      </c>
      <c r="I8" s="1009">
        <v>1</v>
      </c>
      <c r="J8" s="1009">
        <v>1</v>
      </c>
      <c r="K8" s="1007">
        <f>SUM(L8:N8)</f>
        <v>13</v>
      </c>
      <c r="L8" s="1009">
        <v>4</v>
      </c>
      <c r="M8" s="1009">
        <v>5</v>
      </c>
      <c r="N8" s="1009">
        <v>4</v>
      </c>
      <c r="O8" s="1010">
        <f>SUM(E8,K8)</f>
        <v>21</v>
      </c>
      <c r="P8" s="118"/>
    </row>
    <row r="9" spans="1:16" s="119" customFormat="1" ht="27" customHeight="1">
      <c r="A9" s="2011"/>
      <c r="B9" s="2014"/>
      <c r="C9" s="999" t="s">
        <v>330</v>
      </c>
      <c r="D9" s="965">
        <v>1</v>
      </c>
      <c r="E9" s="1000">
        <f>SUM(F9:J9)</f>
        <v>1</v>
      </c>
      <c r="F9" s="965"/>
      <c r="G9" s="965"/>
      <c r="H9" s="966"/>
      <c r="I9" s="966"/>
      <c r="J9" s="966">
        <v>1</v>
      </c>
      <c r="K9" s="965">
        <f>SUM(L9:N9)</f>
        <v>10</v>
      </c>
      <c r="L9" s="966">
        <v>1</v>
      </c>
      <c r="M9" s="966">
        <v>3</v>
      </c>
      <c r="N9" s="966">
        <v>6</v>
      </c>
      <c r="O9" s="1001">
        <f>SUM(E9,K9)</f>
        <v>11</v>
      </c>
      <c r="P9" s="118"/>
    </row>
    <row r="10" spans="1:16" s="119" customFormat="1" ht="27" customHeight="1" thickBot="1">
      <c r="A10" s="2012"/>
      <c r="B10" s="1012" t="s">
        <v>104</v>
      </c>
      <c r="C10" s="1101" t="s">
        <v>331</v>
      </c>
      <c r="D10" s="1002">
        <v>4</v>
      </c>
      <c r="E10" s="1011">
        <f>SUM(F10:J10)</f>
        <v>7</v>
      </c>
      <c r="F10" s="1002"/>
      <c r="G10" s="1002">
        <v>1</v>
      </c>
      <c r="H10" s="1004">
        <v>3</v>
      </c>
      <c r="I10" s="1004">
        <v>2</v>
      </c>
      <c r="J10" s="1004">
        <v>1</v>
      </c>
      <c r="K10" s="1002">
        <f>SUM(L10:N10)</f>
        <v>13</v>
      </c>
      <c r="L10" s="1004">
        <v>4</v>
      </c>
      <c r="M10" s="1004">
        <v>6</v>
      </c>
      <c r="N10" s="1004">
        <v>3</v>
      </c>
      <c r="O10" s="1006">
        <f>SUM(E10,K10)</f>
        <v>20</v>
      </c>
      <c r="P10" s="118"/>
    </row>
    <row r="11" spans="1:16" s="119" customFormat="1" ht="24.75" customHeight="1">
      <c r="A11" s="120"/>
      <c r="B11" s="121"/>
      <c r="C11" s="122"/>
      <c r="D11" s="123"/>
      <c r="E11" s="122"/>
      <c r="F11" s="124"/>
      <c r="G11" s="124"/>
      <c r="H11" s="125"/>
      <c r="I11" s="125"/>
      <c r="J11" s="125"/>
      <c r="K11" s="123"/>
      <c r="L11" s="125"/>
      <c r="M11" s="125"/>
      <c r="N11" s="125"/>
      <c r="O11" s="126"/>
      <c r="P11" s="118"/>
    </row>
    <row r="12" spans="5:16" ht="19.5" customHeight="1">
      <c r="E12" s="127"/>
      <c r="O12" s="82"/>
      <c r="P12" s="105"/>
    </row>
    <row r="13" spans="1:16" ht="19.5" customHeight="1">
      <c r="A13" s="241"/>
      <c r="B13" s="242"/>
      <c r="C13" s="237"/>
      <c r="D13" s="237"/>
      <c r="E13" s="243"/>
      <c r="F13" s="244"/>
      <c r="G13" s="244"/>
      <c r="H13" s="244"/>
      <c r="I13" s="244"/>
      <c r="J13" s="104"/>
      <c r="K13" s="82"/>
      <c r="L13" s="104"/>
      <c r="M13" s="104"/>
      <c r="N13" s="104"/>
      <c r="O13" s="82"/>
      <c r="P13" s="105"/>
    </row>
    <row r="14" spans="1:16" ht="19.5" customHeight="1">
      <c r="A14" s="114"/>
      <c r="B14" s="115"/>
      <c r="C14" s="82"/>
      <c r="D14" s="82"/>
      <c r="E14" s="128"/>
      <c r="F14" s="104"/>
      <c r="G14" s="104"/>
      <c r="H14" s="104"/>
      <c r="I14" s="104"/>
      <c r="J14" s="104"/>
      <c r="K14" s="82"/>
      <c r="L14" s="104"/>
      <c r="M14" s="104"/>
      <c r="N14" s="104"/>
      <c r="O14" s="82"/>
      <c r="P14" s="105"/>
    </row>
    <row r="15" spans="1:16" ht="19.5" customHeight="1">
      <c r="A15" s="114"/>
      <c r="B15" s="115"/>
      <c r="C15" s="82"/>
      <c r="D15" s="82"/>
      <c r="E15" s="128"/>
      <c r="F15" s="104"/>
      <c r="G15" s="104"/>
      <c r="H15" s="104"/>
      <c r="I15" s="104"/>
      <c r="J15" s="104"/>
      <c r="K15" s="82"/>
      <c r="L15" s="104"/>
      <c r="M15" s="104"/>
      <c r="N15" s="104"/>
      <c r="O15" s="82"/>
      <c r="P15" s="105"/>
    </row>
    <row r="16" spans="1:16" ht="19.5" customHeight="1">
      <c r="A16" s="114"/>
      <c r="B16" s="115"/>
      <c r="C16" s="82"/>
      <c r="D16" s="82"/>
      <c r="E16" s="128"/>
      <c r="F16" s="104"/>
      <c r="G16" s="104"/>
      <c r="H16" s="104"/>
      <c r="I16" s="104"/>
      <c r="J16" s="104"/>
      <c r="K16" s="82"/>
      <c r="L16" s="104"/>
      <c r="M16" s="104"/>
      <c r="N16" s="104"/>
      <c r="O16" s="82"/>
      <c r="P16" s="105"/>
    </row>
    <row r="17" spans="1:16" ht="19.5" customHeight="1">
      <c r="A17" s="114"/>
      <c r="B17" s="115"/>
      <c r="C17" s="82"/>
      <c r="D17" s="82"/>
      <c r="E17" s="128"/>
      <c r="F17" s="104"/>
      <c r="G17" s="104"/>
      <c r="H17" s="104"/>
      <c r="I17" s="104"/>
      <c r="J17" s="104"/>
      <c r="K17" s="82"/>
      <c r="L17" s="104"/>
      <c r="M17" s="104"/>
      <c r="N17" s="104"/>
      <c r="O17" s="82"/>
      <c r="P17" s="105"/>
    </row>
    <row r="18" spans="1:16" ht="19.5" customHeight="1">
      <c r="A18" s="114"/>
      <c r="B18" s="115"/>
      <c r="C18" s="82"/>
      <c r="D18" s="82"/>
      <c r="E18" s="128"/>
      <c r="F18" s="104"/>
      <c r="G18" s="104"/>
      <c r="H18" s="104"/>
      <c r="I18" s="104"/>
      <c r="J18" s="104"/>
      <c r="K18" s="82"/>
      <c r="L18" s="104"/>
      <c r="M18" s="104"/>
      <c r="N18" s="104"/>
      <c r="O18" s="82"/>
      <c r="P18" s="105"/>
    </row>
    <row r="19" spans="1:16" ht="19.5" customHeight="1">
      <c r="A19" s="114"/>
      <c r="B19" s="115"/>
      <c r="C19" s="82"/>
      <c r="D19" s="82"/>
      <c r="E19" s="128"/>
      <c r="F19" s="104"/>
      <c r="G19" s="104"/>
      <c r="H19" s="104"/>
      <c r="I19" s="104"/>
      <c r="J19" s="104"/>
      <c r="K19" s="82"/>
      <c r="L19" s="104"/>
      <c r="M19" s="104"/>
      <c r="N19" s="104"/>
      <c r="O19" s="82"/>
      <c r="P19" s="105"/>
    </row>
    <row r="20" spans="1:16" ht="19.5" customHeight="1">
      <c r="A20" s="114"/>
      <c r="B20" s="115"/>
      <c r="C20" s="82"/>
      <c r="D20" s="82"/>
      <c r="E20" s="128"/>
      <c r="F20" s="104"/>
      <c r="G20" s="104"/>
      <c r="H20" s="104"/>
      <c r="I20" s="104"/>
      <c r="J20" s="104"/>
      <c r="K20" s="82"/>
      <c r="L20" s="104"/>
      <c r="M20" s="104"/>
      <c r="N20" s="104"/>
      <c r="O20" s="82"/>
      <c r="P20" s="105"/>
    </row>
    <row r="21" spans="1:16" ht="19.5" customHeight="1">
      <c r="A21" s="114"/>
      <c r="B21" s="115"/>
      <c r="C21" s="82"/>
      <c r="D21" s="82"/>
      <c r="E21" s="128"/>
      <c r="F21" s="104"/>
      <c r="G21" s="104"/>
      <c r="H21" s="104"/>
      <c r="I21" s="104"/>
      <c r="J21" s="104"/>
      <c r="K21" s="82"/>
      <c r="L21" s="104"/>
      <c r="M21" s="104"/>
      <c r="N21" s="104"/>
      <c r="O21" s="82"/>
      <c r="P21" s="105"/>
    </row>
    <row r="22" spans="1:16" ht="19.5" customHeight="1">
      <c r="A22" s="114"/>
      <c r="B22" s="115"/>
      <c r="C22" s="82"/>
      <c r="D22" s="82"/>
      <c r="E22" s="128"/>
      <c r="F22" s="104"/>
      <c r="G22" s="104"/>
      <c r="H22" s="104"/>
      <c r="I22" s="104"/>
      <c r="J22" s="104"/>
      <c r="K22" s="82"/>
      <c r="L22" s="104"/>
      <c r="M22" s="104"/>
      <c r="N22" s="104"/>
      <c r="O22" s="82"/>
      <c r="P22" s="105"/>
    </row>
    <row r="23" spans="1:16" ht="19.5" customHeight="1">
      <c r="A23" s="114"/>
      <c r="B23" s="115"/>
      <c r="C23" s="82"/>
      <c r="D23" s="82"/>
      <c r="E23" s="128"/>
      <c r="F23" s="104"/>
      <c r="G23" s="104"/>
      <c r="H23" s="104"/>
      <c r="I23" s="104"/>
      <c r="J23" s="104"/>
      <c r="K23" s="82"/>
      <c r="L23" s="104"/>
      <c r="M23" s="104"/>
      <c r="N23" s="104"/>
      <c r="O23" s="82"/>
      <c r="P23" s="105"/>
    </row>
    <row r="24" spans="1:16" ht="19.5" customHeight="1">
      <c r="A24" s="114"/>
      <c r="B24" s="115"/>
      <c r="C24" s="82"/>
      <c r="D24" s="82"/>
      <c r="E24" s="128"/>
      <c r="F24" s="104"/>
      <c r="G24" s="104"/>
      <c r="H24" s="104"/>
      <c r="I24" s="104"/>
      <c r="J24" s="104"/>
      <c r="K24" s="82"/>
      <c r="L24" s="104"/>
      <c r="M24" s="104"/>
      <c r="N24" s="104"/>
      <c r="O24" s="82"/>
      <c r="P24" s="105"/>
    </row>
    <row r="25" spans="1:16" ht="19.5" customHeight="1">
      <c r="A25" s="114"/>
      <c r="B25" s="115"/>
      <c r="C25" s="82"/>
      <c r="D25" s="82"/>
      <c r="E25" s="128"/>
      <c r="F25" s="104"/>
      <c r="G25" s="104"/>
      <c r="H25" s="104"/>
      <c r="I25" s="104"/>
      <c r="J25" s="104"/>
      <c r="K25" s="82"/>
      <c r="L25" s="104"/>
      <c r="M25" s="104"/>
      <c r="N25" s="104"/>
      <c r="O25" s="82"/>
      <c r="P25" s="105"/>
    </row>
    <row r="26" spans="1:16" ht="19.5" customHeight="1">
      <c r="A26" s="114"/>
      <c r="B26" s="115"/>
      <c r="C26" s="82"/>
      <c r="D26" s="82"/>
      <c r="E26" s="128"/>
      <c r="F26" s="104"/>
      <c r="G26" s="104"/>
      <c r="H26" s="104"/>
      <c r="I26" s="104"/>
      <c r="J26" s="104"/>
      <c r="K26" s="82"/>
      <c r="L26" s="104"/>
      <c r="M26" s="104"/>
      <c r="N26" s="104"/>
      <c r="O26" s="82"/>
      <c r="P26" s="105"/>
    </row>
    <row r="27" spans="1:16" ht="19.5" customHeight="1">
      <c r="A27" s="114"/>
      <c r="B27" s="115"/>
      <c r="C27" s="82"/>
      <c r="D27" s="82"/>
      <c r="E27" s="128"/>
      <c r="F27" s="104"/>
      <c r="G27" s="104"/>
      <c r="H27" s="104"/>
      <c r="I27" s="104"/>
      <c r="J27" s="104"/>
      <c r="K27" s="82"/>
      <c r="L27" s="104"/>
      <c r="M27" s="104"/>
      <c r="N27" s="104"/>
      <c r="O27" s="82"/>
      <c r="P27" s="105"/>
    </row>
    <row r="28" spans="1:16" ht="19.5" customHeight="1">
      <c r="A28" s="114"/>
      <c r="B28" s="115"/>
      <c r="C28" s="82"/>
      <c r="D28" s="82"/>
      <c r="E28" s="128"/>
      <c r="F28" s="104"/>
      <c r="G28" s="104"/>
      <c r="H28" s="104"/>
      <c r="I28" s="104"/>
      <c r="J28" s="104"/>
      <c r="K28" s="82"/>
      <c r="L28" s="104"/>
      <c r="M28" s="104"/>
      <c r="N28" s="104"/>
      <c r="O28" s="82"/>
      <c r="P28" s="105"/>
    </row>
    <row r="29" spans="1:16" ht="19.5" customHeight="1">
      <c r="A29" s="114"/>
      <c r="B29" s="115"/>
      <c r="C29" s="82"/>
      <c r="D29" s="82"/>
      <c r="E29" s="128"/>
      <c r="F29" s="104"/>
      <c r="G29" s="104"/>
      <c r="H29" s="104"/>
      <c r="I29" s="104"/>
      <c r="J29" s="104"/>
      <c r="K29" s="82"/>
      <c r="L29" s="104"/>
      <c r="M29" s="104"/>
      <c r="N29" s="104"/>
      <c r="O29" s="82"/>
      <c r="P29" s="105"/>
    </row>
    <row r="30" spans="1:16" ht="19.5" customHeight="1">
      <c r="A30" s="114"/>
      <c r="B30" s="115"/>
      <c r="C30" s="82"/>
      <c r="D30" s="82"/>
      <c r="E30" s="128"/>
      <c r="F30" s="104"/>
      <c r="G30" s="104"/>
      <c r="H30" s="104"/>
      <c r="I30" s="104"/>
      <c r="J30" s="104"/>
      <c r="K30" s="82"/>
      <c r="L30" s="104"/>
      <c r="M30" s="104"/>
      <c r="N30" s="104"/>
      <c r="O30" s="82"/>
      <c r="P30" s="105"/>
    </row>
    <row r="31" spans="1:16" ht="19.5" customHeight="1">
      <c r="A31" s="114"/>
      <c r="B31" s="115"/>
      <c r="C31" s="82"/>
      <c r="D31" s="82"/>
      <c r="E31" s="128"/>
      <c r="F31" s="104"/>
      <c r="G31" s="104"/>
      <c r="H31" s="104"/>
      <c r="I31" s="104"/>
      <c r="J31" s="104"/>
      <c r="K31" s="82"/>
      <c r="L31" s="104"/>
      <c r="M31" s="104"/>
      <c r="N31" s="104"/>
      <c r="O31" s="82"/>
      <c r="P31" s="105"/>
    </row>
    <row r="32" spans="1:16" ht="19.5" customHeight="1">
      <c r="A32" s="114"/>
      <c r="B32" s="115"/>
      <c r="C32" s="82"/>
      <c r="D32" s="82"/>
      <c r="E32" s="128"/>
      <c r="F32" s="104"/>
      <c r="G32" s="104"/>
      <c r="H32" s="104"/>
      <c r="I32" s="104"/>
      <c r="J32" s="104"/>
      <c r="K32" s="82"/>
      <c r="L32" s="104"/>
      <c r="M32" s="104"/>
      <c r="N32" s="104"/>
      <c r="O32" s="82"/>
      <c r="P32" s="105"/>
    </row>
    <row r="33" spans="1:16" ht="19.5" customHeight="1">
      <c r="A33" s="114"/>
      <c r="B33" s="115"/>
      <c r="C33" s="82"/>
      <c r="D33" s="82"/>
      <c r="E33" s="128"/>
      <c r="F33" s="104"/>
      <c r="G33" s="104"/>
      <c r="H33" s="104"/>
      <c r="I33" s="104"/>
      <c r="J33" s="104"/>
      <c r="K33" s="82"/>
      <c r="L33" s="104"/>
      <c r="M33" s="104"/>
      <c r="N33" s="104"/>
      <c r="O33" s="82"/>
      <c r="P33" s="105"/>
    </row>
    <row r="34" spans="1:16" ht="19.5" customHeight="1">
      <c r="A34" s="114"/>
      <c r="B34" s="115"/>
      <c r="C34" s="82"/>
      <c r="D34" s="82"/>
      <c r="E34" s="128"/>
      <c r="F34" s="104"/>
      <c r="G34" s="104"/>
      <c r="H34" s="104"/>
      <c r="I34" s="104"/>
      <c r="J34" s="104"/>
      <c r="K34" s="82"/>
      <c r="L34" s="104"/>
      <c r="M34" s="104"/>
      <c r="N34" s="104"/>
      <c r="O34" s="82"/>
      <c r="P34" s="105"/>
    </row>
    <row r="35" spans="1:16" ht="19.5" customHeight="1">
      <c r="A35" s="114"/>
      <c r="B35" s="115"/>
      <c r="C35" s="82"/>
      <c r="D35" s="82"/>
      <c r="E35" s="128"/>
      <c r="F35" s="104"/>
      <c r="G35" s="104"/>
      <c r="H35" s="104"/>
      <c r="I35" s="104"/>
      <c r="J35" s="104"/>
      <c r="K35" s="82"/>
      <c r="L35" s="104"/>
      <c r="M35" s="104"/>
      <c r="N35" s="104"/>
      <c r="O35" s="82"/>
      <c r="P35" s="105"/>
    </row>
    <row r="36" spans="1:16" ht="19.5" customHeight="1">
      <c r="A36" s="114"/>
      <c r="B36" s="115"/>
      <c r="C36" s="82"/>
      <c r="D36" s="82"/>
      <c r="E36" s="128"/>
      <c r="F36" s="104"/>
      <c r="G36" s="104"/>
      <c r="H36" s="104"/>
      <c r="I36" s="104"/>
      <c r="J36" s="104"/>
      <c r="K36" s="82"/>
      <c r="L36" s="104"/>
      <c r="M36" s="104"/>
      <c r="N36" s="104"/>
      <c r="O36" s="82"/>
      <c r="P36" s="105"/>
    </row>
    <row r="37" spans="1:16" ht="19.5" customHeight="1">
      <c r="A37" s="114"/>
      <c r="B37" s="115"/>
      <c r="C37" s="82"/>
      <c r="D37" s="82"/>
      <c r="E37" s="128"/>
      <c r="F37" s="104"/>
      <c r="G37" s="104"/>
      <c r="H37" s="104"/>
      <c r="I37" s="104"/>
      <c r="J37" s="104"/>
      <c r="K37" s="82"/>
      <c r="L37" s="104"/>
      <c r="M37" s="104"/>
      <c r="N37" s="104"/>
      <c r="O37" s="82"/>
      <c r="P37" s="105"/>
    </row>
    <row r="38" spans="1:16" ht="19.5" customHeight="1">
      <c r="A38" s="114"/>
      <c r="B38" s="115"/>
      <c r="C38" s="82"/>
      <c r="D38" s="82"/>
      <c r="E38" s="128"/>
      <c r="F38" s="104"/>
      <c r="G38" s="104"/>
      <c r="H38" s="104"/>
      <c r="I38" s="104"/>
      <c r="J38" s="104"/>
      <c r="K38" s="82"/>
      <c r="L38" s="104"/>
      <c r="M38" s="104"/>
      <c r="N38" s="104"/>
      <c r="O38" s="82"/>
      <c r="P38" s="105"/>
    </row>
    <row r="39" spans="1:16" ht="19.5" customHeight="1">
      <c r="A39" s="114"/>
      <c r="B39" s="115"/>
      <c r="C39" s="82"/>
      <c r="D39" s="82"/>
      <c r="E39" s="128"/>
      <c r="F39" s="104"/>
      <c r="G39" s="104"/>
      <c r="H39" s="104"/>
      <c r="I39" s="104"/>
      <c r="J39" s="104"/>
      <c r="K39" s="82"/>
      <c r="L39" s="104"/>
      <c r="M39" s="104"/>
      <c r="N39" s="104"/>
      <c r="O39" s="82"/>
      <c r="P39" s="105"/>
    </row>
    <row r="40" spans="1:16" ht="19.5" customHeight="1">
      <c r="A40" s="114"/>
      <c r="B40" s="115"/>
      <c r="C40" s="82"/>
      <c r="D40" s="82"/>
      <c r="E40" s="128"/>
      <c r="F40" s="104"/>
      <c r="G40" s="104"/>
      <c r="H40" s="104"/>
      <c r="I40" s="104"/>
      <c r="J40" s="104"/>
      <c r="K40" s="82"/>
      <c r="L40" s="104"/>
      <c r="M40" s="104"/>
      <c r="N40" s="104"/>
      <c r="O40" s="82"/>
      <c r="P40" s="105"/>
    </row>
    <row r="41" spans="1:16" ht="19.5" customHeight="1">
      <c r="A41" s="114"/>
      <c r="B41" s="115"/>
      <c r="C41" s="82"/>
      <c r="D41" s="82"/>
      <c r="E41" s="128"/>
      <c r="F41" s="104"/>
      <c r="G41" s="104"/>
      <c r="H41" s="104"/>
      <c r="I41" s="104"/>
      <c r="J41" s="104"/>
      <c r="K41" s="82"/>
      <c r="L41" s="104"/>
      <c r="M41" s="104"/>
      <c r="N41" s="104"/>
      <c r="O41" s="82"/>
      <c r="P41" s="105"/>
    </row>
    <row r="42" spans="1:16" ht="19.5" customHeight="1">
      <c r="A42" s="114"/>
      <c r="B42" s="115"/>
      <c r="C42" s="82"/>
      <c r="D42" s="82"/>
      <c r="E42" s="128"/>
      <c r="F42" s="104"/>
      <c r="G42" s="104"/>
      <c r="H42" s="104"/>
      <c r="I42" s="104"/>
      <c r="J42" s="104"/>
      <c r="K42" s="82"/>
      <c r="L42" s="104"/>
      <c r="M42" s="104"/>
      <c r="N42" s="104"/>
      <c r="O42" s="82"/>
      <c r="P42" s="105"/>
    </row>
    <row r="43" spans="1:16" ht="19.5" customHeight="1">
      <c r="A43" s="114"/>
      <c r="B43" s="115"/>
      <c r="C43" s="82"/>
      <c r="D43" s="82"/>
      <c r="E43" s="128"/>
      <c r="F43" s="104"/>
      <c r="G43" s="104"/>
      <c r="H43" s="104"/>
      <c r="I43" s="104"/>
      <c r="J43" s="104"/>
      <c r="K43" s="82"/>
      <c r="L43" s="104"/>
      <c r="M43" s="104"/>
      <c r="N43" s="104"/>
      <c r="O43" s="82"/>
      <c r="P43" s="105"/>
    </row>
    <row r="44" spans="1:16" ht="19.5" customHeight="1">
      <c r="A44" s="114"/>
      <c r="B44" s="115"/>
      <c r="C44" s="82"/>
      <c r="D44" s="82"/>
      <c r="E44" s="128"/>
      <c r="F44" s="104"/>
      <c r="G44" s="104"/>
      <c r="H44" s="104"/>
      <c r="I44" s="104"/>
      <c r="J44" s="104"/>
      <c r="K44" s="82"/>
      <c r="L44" s="104"/>
      <c r="M44" s="104"/>
      <c r="N44" s="104"/>
      <c r="O44" s="82"/>
      <c r="P44" s="105"/>
    </row>
    <row r="45" spans="1:16" ht="19.5" customHeight="1">
      <c r="A45" s="114"/>
      <c r="B45" s="115"/>
      <c r="C45" s="82"/>
      <c r="D45" s="82"/>
      <c r="E45" s="128"/>
      <c r="F45" s="104"/>
      <c r="G45" s="104"/>
      <c r="H45" s="104"/>
      <c r="I45" s="104"/>
      <c r="J45" s="104"/>
      <c r="K45" s="82"/>
      <c r="L45" s="104"/>
      <c r="M45" s="104"/>
      <c r="N45" s="104"/>
      <c r="O45" s="82"/>
      <c r="P45" s="105"/>
    </row>
    <row r="46" spans="1:16" ht="19.5" customHeight="1">
      <c r="A46" s="114"/>
      <c r="B46" s="115"/>
      <c r="C46" s="82"/>
      <c r="D46" s="82"/>
      <c r="E46" s="128"/>
      <c r="F46" s="104"/>
      <c r="G46" s="104"/>
      <c r="H46" s="104"/>
      <c r="I46" s="104"/>
      <c r="J46" s="104"/>
      <c r="K46" s="82"/>
      <c r="L46" s="104"/>
      <c r="M46" s="104"/>
      <c r="N46" s="104"/>
      <c r="O46" s="82"/>
      <c r="P46" s="105"/>
    </row>
    <row r="47" spans="1:16" ht="19.5" customHeight="1">
      <c r="A47" s="114"/>
      <c r="B47" s="115"/>
      <c r="C47" s="82"/>
      <c r="D47" s="82"/>
      <c r="E47" s="128"/>
      <c r="F47" s="104"/>
      <c r="G47" s="104"/>
      <c r="H47" s="104"/>
      <c r="I47" s="104"/>
      <c r="J47" s="104"/>
      <c r="K47" s="82"/>
      <c r="L47" s="104"/>
      <c r="M47" s="104"/>
      <c r="N47" s="104"/>
      <c r="O47" s="82"/>
      <c r="P47" s="105"/>
    </row>
    <row r="48" spans="1:16" ht="19.5" customHeight="1">
      <c r="A48" s="114"/>
      <c r="B48" s="115"/>
      <c r="C48" s="82"/>
      <c r="D48" s="82"/>
      <c r="E48" s="128"/>
      <c r="F48" s="104"/>
      <c r="G48" s="104"/>
      <c r="H48" s="104"/>
      <c r="I48" s="104"/>
      <c r="J48" s="104"/>
      <c r="K48" s="82"/>
      <c r="L48" s="104"/>
      <c r="M48" s="104"/>
      <c r="N48" s="104"/>
      <c r="O48" s="82"/>
      <c r="P48" s="105"/>
    </row>
    <row r="49" spans="1:16" ht="19.5" customHeight="1">
      <c r="A49" s="114"/>
      <c r="B49" s="115"/>
      <c r="C49" s="82"/>
      <c r="D49" s="82"/>
      <c r="E49" s="128"/>
      <c r="F49" s="104"/>
      <c r="G49" s="104"/>
      <c r="H49" s="104"/>
      <c r="I49" s="104"/>
      <c r="J49" s="104"/>
      <c r="K49" s="82"/>
      <c r="L49" s="104"/>
      <c r="M49" s="104"/>
      <c r="N49" s="104"/>
      <c r="O49" s="82"/>
      <c r="P49" s="105"/>
    </row>
    <row r="50" spans="1:16" ht="19.5" customHeight="1">
      <c r="A50" s="114"/>
      <c r="B50" s="115"/>
      <c r="C50" s="82"/>
      <c r="D50" s="82"/>
      <c r="E50" s="128"/>
      <c r="F50" s="104"/>
      <c r="G50" s="104"/>
      <c r="H50" s="104"/>
      <c r="I50" s="104"/>
      <c r="J50" s="104"/>
      <c r="K50" s="82"/>
      <c r="L50" s="104"/>
      <c r="M50" s="104"/>
      <c r="N50" s="104"/>
      <c r="O50" s="82"/>
      <c r="P50" s="105"/>
    </row>
    <row r="51" spans="1:16" ht="19.5" customHeight="1">
      <c r="A51" s="114"/>
      <c r="B51" s="115"/>
      <c r="C51" s="82"/>
      <c r="D51" s="82"/>
      <c r="E51" s="128"/>
      <c r="F51" s="104"/>
      <c r="G51" s="104"/>
      <c r="H51" s="104"/>
      <c r="I51" s="104"/>
      <c r="J51" s="104"/>
      <c r="K51" s="82"/>
      <c r="L51" s="104"/>
      <c r="M51" s="104"/>
      <c r="N51" s="104"/>
      <c r="O51" s="82"/>
      <c r="P51" s="105"/>
    </row>
    <row r="52" spans="1:16" ht="19.5" customHeight="1">
      <c r="A52" s="114"/>
      <c r="B52" s="115"/>
      <c r="C52" s="82"/>
      <c r="D52" s="82"/>
      <c r="E52" s="128"/>
      <c r="F52" s="104"/>
      <c r="G52" s="104"/>
      <c r="H52" s="104"/>
      <c r="I52" s="104"/>
      <c r="J52" s="104"/>
      <c r="K52" s="82"/>
      <c r="L52" s="104"/>
      <c r="M52" s="104"/>
      <c r="N52" s="104"/>
      <c r="O52" s="82"/>
      <c r="P52" s="105"/>
    </row>
    <row r="53" spans="1:16" ht="19.5" customHeight="1">
      <c r="A53" s="114"/>
      <c r="B53" s="115"/>
      <c r="C53" s="82"/>
      <c r="D53" s="82"/>
      <c r="E53" s="128"/>
      <c r="F53" s="104"/>
      <c r="G53" s="104"/>
      <c r="H53" s="104"/>
      <c r="I53" s="104"/>
      <c r="J53" s="104"/>
      <c r="K53" s="82"/>
      <c r="L53" s="104"/>
      <c r="M53" s="104"/>
      <c r="N53" s="104"/>
      <c r="O53" s="82"/>
      <c r="P53" s="105"/>
    </row>
    <row r="54" spans="1:16" ht="19.5" customHeight="1">
      <c r="A54" s="114"/>
      <c r="B54" s="115"/>
      <c r="C54" s="82"/>
      <c r="D54" s="82"/>
      <c r="E54" s="128"/>
      <c r="F54" s="104"/>
      <c r="G54" s="104"/>
      <c r="H54" s="104"/>
      <c r="I54" s="104"/>
      <c r="J54" s="104"/>
      <c r="K54" s="82"/>
      <c r="L54" s="104"/>
      <c r="M54" s="104"/>
      <c r="N54" s="104"/>
      <c r="O54" s="82"/>
      <c r="P54" s="105"/>
    </row>
    <row r="55" spans="1:16" ht="19.5" customHeight="1">
      <c r="A55" s="114"/>
      <c r="B55" s="115"/>
      <c r="C55" s="82"/>
      <c r="D55" s="82"/>
      <c r="E55" s="128"/>
      <c r="F55" s="104"/>
      <c r="G55" s="104"/>
      <c r="H55" s="104"/>
      <c r="I55" s="104"/>
      <c r="J55" s="104"/>
      <c r="K55" s="82"/>
      <c r="L55" s="104"/>
      <c r="M55" s="104"/>
      <c r="N55" s="104"/>
      <c r="O55" s="82"/>
      <c r="P55" s="105"/>
    </row>
    <row r="56" spans="1:16" ht="19.5" customHeight="1">
      <c r="A56" s="114"/>
      <c r="B56" s="115"/>
      <c r="C56" s="82"/>
      <c r="D56" s="82"/>
      <c r="E56" s="128"/>
      <c r="F56" s="104"/>
      <c r="G56" s="104"/>
      <c r="H56" s="104"/>
      <c r="I56" s="104"/>
      <c r="J56" s="104"/>
      <c r="K56" s="82"/>
      <c r="L56" s="104"/>
      <c r="M56" s="104"/>
      <c r="N56" s="104"/>
      <c r="O56" s="82"/>
      <c r="P56" s="105"/>
    </row>
    <row r="57" spans="1:16" ht="19.5" customHeight="1">
      <c r="A57" s="114"/>
      <c r="B57" s="115"/>
      <c r="C57" s="82"/>
      <c r="D57" s="82"/>
      <c r="E57" s="128"/>
      <c r="F57" s="104"/>
      <c r="G57" s="104"/>
      <c r="H57" s="104"/>
      <c r="I57" s="104"/>
      <c r="J57" s="104"/>
      <c r="K57" s="82"/>
      <c r="L57" s="104"/>
      <c r="M57" s="104"/>
      <c r="N57" s="104"/>
      <c r="O57" s="82"/>
      <c r="P57" s="105"/>
    </row>
    <row r="58" spans="1:16" ht="19.5" customHeight="1">
      <c r="A58" s="114"/>
      <c r="B58" s="115"/>
      <c r="C58" s="82"/>
      <c r="D58" s="82"/>
      <c r="E58" s="128"/>
      <c r="F58" s="104"/>
      <c r="G58" s="104"/>
      <c r="H58" s="104"/>
      <c r="I58" s="104"/>
      <c r="J58" s="104"/>
      <c r="K58" s="82"/>
      <c r="L58" s="104"/>
      <c r="M58" s="104"/>
      <c r="N58" s="104"/>
      <c r="O58" s="82"/>
      <c r="P58" s="105"/>
    </row>
    <row r="59" spans="1:16" ht="19.5" customHeight="1">
      <c r="A59" s="114"/>
      <c r="B59" s="115"/>
      <c r="C59" s="82"/>
      <c r="D59" s="82"/>
      <c r="E59" s="128"/>
      <c r="F59" s="104"/>
      <c r="G59" s="104"/>
      <c r="H59" s="104"/>
      <c r="I59" s="104"/>
      <c r="J59" s="104"/>
      <c r="K59" s="82"/>
      <c r="L59" s="104"/>
      <c r="M59" s="104"/>
      <c r="N59" s="104"/>
      <c r="O59" s="82"/>
      <c r="P59" s="105"/>
    </row>
    <row r="60" spans="1:16" ht="19.5" customHeight="1">
      <c r="A60" s="114"/>
      <c r="B60" s="115"/>
      <c r="C60" s="82"/>
      <c r="D60" s="82"/>
      <c r="E60" s="128"/>
      <c r="F60" s="104"/>
      <c r="G60" s="104"/>
      <c r="H60" s="104"/>
      <c r="I60" s="104"/>
      <c r="J60" s="104"/>
      <c r="K60" s="82"/>
      <c r="L60" s="104"/>
      <c r="M60" s="104"/>
      <c r="N60" s="104"/>
      <c r="O60" s="82"/>
      <c r="P60" s="105"/>
    </row>
    <row r="61" spans="1:16" ht="19.5" customHeight="1">
      <c r="A61" s="114"/>
      <c r="B61" s="115"/>
      <c r="C61" s="82"/>
      <c r="D61" s="82"/>
      <c r="E61" s="128"/>
      <c r="F61" s="104"/>
      <c r="G61" s="104"/>
      <c r="H61" s="104"/>
      <c r="I61" s="104"/>
      <c r="J61" s="104"/>
      <c r="K61" s="82"/>
      <c r="L61" s="104"/>
      <c r="M61" s="104"/>
      <c r="N61" s="104"/>
      <c r="O61" s="82"/>
      <c r="P61" s="105"/>
    </row>
    <row r="62" spans="1:16" ht="19.5" customHeight="1">
      <c r="A62" s="114"/>
      <c r="B62" s="115"/>
      <c r="C62" s="82"/>
      <c r="D62" s="82"/>
      <c r="E62" s="128"/>
      <c r="F62" s="104"/>
      <c r="G62" s="104"/>
      <c r="H62" s="104"/>
      <c r="I62" s="104"/>
      <c r="J62" s="104"/>
      <c r="K62" s="82"/>
      <c r="L62" s="104"/>
      <c r="M62" s="104"/>
      <c r="N62" s="104"/>
      <c r="O62" s="82"/>
      <c r="P62" s="105"/>
    </row>
    <row r="63" spans="1:16" ht="19.5" customHeight="1">
      <c r="A63" s="114"/>
      <c r="B63" s="115"/>
      <c r="C63" s="82"/>
      <c r="D63" s="82"/>
      <c r="E63" s="128"/>
      <c r="F63" s="104"/>
      <c r="G63" s="104"/>
      <c r="H63" s="104"/>
      <c r="I63" s="104"/>
      <c r="J63" s="104"/>
      <c r="K63" s="82"/>
      <c r="L63" s="104"/>
      <c r="M63" s="104"/>
      <c r="N63" s="104"/>
      <c r="O63" s="82"/>
      <c r="P63" s="105"/>
    </row>
    <row r="64" spans="1:16" ht="19.5" customHeight="1">
      <c r="A64" s="114"/>
      <c r="B64" s="115"/>
      <c r="C64" s="82"/>
      <c r="D64" s="82"/>
      <c r="E64" s="128"/>
      <c r="F64" s="104"/>
      <c r="G64" s="104"/>
      <c r="H64" s="104"/>
      <c r="I64" s="104"/>
      <c r="J64" s="104"/>
      <c r="K64" s="82"/>
      <c r="L64" s="104"/>
      <c r="M64" s="104"/>
      <c r="N64" s="104"/>
      <c r="O64" s="82"/>
      <c r="P64" s="105"/>
    </row>
    <row r="65" spans="1:16" ht="19.5" customHeight="1">
      <c r="A65" s="114"/>
      <c r="B65" s="115"/>
      <c r="C65" s="82"/>
      <c r="D65" s="82"/>
      <c r="E65" s="128"/>
      <c r="F65" s="104"/>
      <c r="G65" s="104"/>
      <c r="H65" s="104"/>
      <c r="I65" s="104"/>
      <c r="J65" s="104"/>
      <c r="K65" s="82"/>
      <c r="L65" s="104"/>
      <c r="M65" s="104"/>
      <c r="N65" s="104"/>
      <c r="O65" s="82"/>
      <c r="P65" s="105"/>
    </row>
    <row r="66" spans="1:16" ht="19.5" customHeight="1">
      <c r="A66" s="114"/>
      <c r="B66" s="115"/>
      <c r="C66" s="82"/>
      <c r="D66" s="82"/>
      <c r="E66" s="128"/>
      <c r="F66" s="104"/>
      <c r="G66" s="104"/>
      <c r="H66" s="104"/>
      <c r="I66" s="104"/>
      <c r="J66" s="104"/>
      <c r="K66" s="82"/>
      <c r="L66" s="104"/>
      <c r="M66" s="104"/>
      <c r="N66" s="104"/>
      <c r="O66" s="82"/>
      <c r="P66" s="105"/>
    </row>
    <row r="67" spans="1:16" ht="19.5" customHeight="1">
      <c r="A67" s="114"/>
      <c r="B67" s="115"/>
      <c r="C67" s="82"/>
      <c r="D67" s="82"/>
      <c r="E67" s="128"/>
      <c r="F67" s="104"/>
      <c r="G67" s="104"/>
      <c r="H67" s="104"/>
      <c r="I67" s="104"/>
      <c r="J67" s="104"/>
      <c r="K67" s="82"/>
      <c r="L67" s="104"/>
      <c r="M67" s="104"/>
      <c r="N67" s="104"/>
      <c r="O67" s="82"/>
      <c r="P67" s="105"/>
    </row>
    <row r="68" spans="1:16" ht="19.5" customHeight="1">
      <c r="A68" s="114"/>
      <c r="B68" s="115"/>
      <c r="C68" s="82"/>
      <c r="D68" s="82"/>
      <c r="E68" s="128"/>
      <c r="F68" s="104"/>
      <c r="G68" s="104"/>
      <c r="H68" s="104"/>
      <c r="I68" s="104"/>
      <c r="J68" s="104"/>
      <c r="K68" s="82"/>
      <c r="L68" s="104"/>
      <c r="M68" s="104"/>
      <c r="N68" s="104"/>
      <c r="O68" s="82"/>
      <c r="P68" s="105"/>
    </row>
    <row r="69" spans="1:16" ht="19.5" customHeight="1">
      <c r="A69" s="114"/>
      <c r="B69" s="115"/>
      <c r="C69" s="82"/>
      <c r="D69" s="82"/>
      <c r="E69" s="128"/>
      <c r="F69" s="104"/>
      <c r="G69" s="104"/>
      <c r="H69" s="104"/>
      <c r="I69" s="104"/>
      <c r="J69" s="104"/>
      <c r="K69" s="82"/>
      <c r="L69" s="104"/>
      <c r="M69" s="104"/>
      <c r="N69" s="104"/>
      <c r="O69" s="82"/>
      <c r="P69" s="105"/>
    </row>
    <row r="70" spans="1:16" ht="19.5" customHeight="1">
      <c r="A70" s="114"/>
      <c r="B70" s="115"/>
      <c r="C70" s="82"/>
      <c r="D70" s="82"/>
      <c r="E70" s="128"/>
      <c r="F70" s="104"/>
      <c r="G70" s="104"/>
      <c r="H70" s="104"/>
      <c r="I70" s="104"/>
      <c r="J70" s="104"/>
      <c r="K70" s="82"/>
      <c r="L70" s="104"/>
      <c r="M70" s="104"/>
      <c r="N70" s="104"/>
      <c r="O70" s="82"/>
      <c r="P70" s="105"/>
    </row>
    <row r="71" spans="1:16" ht="19.5" customHeight="1">
      <c r="A71" s="114"/>
      <c r="B71" s="115"/>
      <c r="C71" s="82"/>
      <c r="D71" s="82"/>
      <c r="E71" s="128"/>
      <c r="F71" s="104"/>
      <c r="G71" s="104"/>
      <c r="H71" s="104"/>
      <c r="I71" s="104"/>
      <c r="J71" s="104"/>
      <c r="K71" s="82"/>
      <c r="L71" s="104"/>
      <c r="M71" s="104"/>
      <c r="N71" s="104"/>
      <c r="O71" s="82"/>
      <c r="P71" s="105"/>
    </row>
    <row r="72" spans="1:16" ht="19.5" customHeight="1">
      <c r="A72" s="114"/>
      <c r="B72" s="115"/>
      <c r="C72" s="82"/>
      <c r="D72" s="82"/>
      <c r="E72" s="128"/>
      <c r="F72" s="104"/>
      <c r="G72" s="104"/>
      <c r="H72" s="104"/>
      <c r="I72" s="104"/>
      <c r="J72" s="104"/>
      <c r="K72" s="82"/>
      <c r="L72" s="104"/>
      <c r="M72" s="104"/>
      <c r="N72" s="104"/>
      <c r="O72" s="82"/>
      <c r="P72" s="105"/>
    </row>
    <row r="73" spans="1:16" ht="19.5" customHeight="1">
      <c r="A73" s="114"/>
      <c r="B73" s="115"/>
      <c r="C73" s="82"/>
      <c r="D73" s="82"/>
      <c r="E73" s="128"/>
      <c r="F73" s="104"/>
      <c r="G73" s="104"/>
      <c r="H73" s="104"/>
      <c r="I73" s="104"/>
      <c r="J73" s="104"/>
      <c r="K73" s="82"/>
      <c r="L73" s="104"/>
      <c r="M73" s="104"/>
      <c r="N73" s="104"/>
      <c r="O73" s="82"/>
      <c r="P73" s="105"/>
    </row>
    <row r="74" spans="1:16" ht="19.5" customHeight="1">
      <c r="A74" s="114"/>
      <c r="B74" s="115"/>
      <c r="C74" s="82"/>
      <c r="D74" s="82"/>
      <c r="E74" s="128"/>
      <c r="F74" s="104"/>
      <c r="G74" s="104"/>
      <c r="H74" s="104"/>
      <c r="I74" s="104"/>
      <c r="J74" s="104"/>
      <c r="K74" s="82"/>
      <c r="L74" s="104"/>
      <c r="M74" s="104"/>
      <c r="N74" s="104"/>
      <c r="O74" s="82"/>
      <c r="P74" s="105"/>
    </row>
    <row r="75" spans="1:16" ht="19.5" customHeight="1">
      <c r="A75" s="114"/>
      <c r="B75" s="115"/>
      <c r="C75" s="82"/>
      <c r="D75" s="82"/>
      <c r="E75" s="128"/>
      <c r="F75" s="104"/>
      <c r="G75" s="104"/>
      <c r="H75" s="104"/>
      <c r="I75" s="104"/>
      <c r="J75" s="104"/>
      <c r="K75" s="82"/>
      <c r="L75" s="104"/>
      <c r="M75" s="104"/>
      <c r="N75" s="104"/>
      <c r="O75" s="82"/>
      <c r="P75" s="105"/>
    </row>
    <row r="76" spans="1:16" ht="19.5" customHeight="1">
      <c r="A76" s="114"/>
      <c r="B76" s="115"/>
      <c r="C76" s="82"/>
      <c r="D76" s="82"/>
      <c r="E76" s="128"/>
      <c r="F76" s="104"/>
      <c r="G76" s="104"/>
      <c r="H76" s="104"/>
      <c r="I76" s="104"/>
      <c r="J76" s="104"/>
      <c r="K76" s="82"/>
      <c r="L76" s="104"/>
      <c r="M76" s="104"/>
      <c r="N76" s="104"/>
      <c r="O76" s="82"/>
      <c r="P76" s="105"/>
    </row>
    <row r="77" spans="1:16" ht="19.5" customHeight="1">
      <c r="A77" s="114"/>
      <c r="B77" s="115"/>
      <c r="C77" s="82"/>
      <c r="D77" s="82"/>
      <c r="E77" s="128"/>
      <c r="F77" s="104"/>
      <c r="G77" s="104"/>
      <c r="H77" s="104"/>
      <c r="I77" s="104"/>
      <c r="J77" s="104"/>
      <c r="K77" s="82"/>
      <c r="L77" s="104"/>
      <c r="M77" s="104"/>
      <c r="N77" s="104"/>
      <c r="O77" s="82"/>
      <c r="P77" s="105"/>
    </row>
    <row r="78" spans="1:16" ht="19.5" customHeight="1">
      <c r="A78" s="114"/>
      <c r="B78" s="115"/>
      <c r="C78" s="82"/>
      <c r="D78" s="82"/>
      <c r="E78" s="128"/>
      <c r="F78" s="104"/>
      <c r="G78" s="104"/>
      <c r="H78" s="104"/>
      <c r="I78" s="104"/>
      <c r="J78" s="104"/>
      <c r="K78" s="82"/>
      <c r="L78" s="104"/>
      <c r="M78" s="104"/>
      <c r="N78" s="104"/>
      <c r="O78" s="82"/>
      <c r="P78" s="105"/>
    </row>
    <row r="79" spans="1:16" ht="19.5" customHeight="1">
      <c r="A79" s="114"/>
      <c r="B79" s="115"/>
      <c r="C79" s="82"/>
      <c r="D79" s="82"/>
      <c r="E79" s="128"/>
      <c r="F79" s="104"/>
      <c r="G79" s="104"/>
      <c r="H79" s="104"/>
      <c r="I79" s="104"/>
      <c r="J79" s="104"/>
      <c r="K79" s="82"/>
      <c r="L79" s="104"/>
      <c r="M79" s="104"/>
      <c r="N79" s="104"/>
      <c r="O79" s="82"/>
      <c r="P79" s="105"/>
    </row>
    <row r="80" spans="1:16" ht="19.5" customHeight="1">
      <c r="A80" s="114"/>
      <c r="B80" s="115"/>
      <c r="C80" s="82"/>
      <c r="D80" s="82"/>
      <c r="E80" s="128"/>
      <c r="F80" s="104"/>
      <c r="G80" s="104"/>
      <c r="H80" s="104"/>
      <c r="I80" s="104"/>
      <c r="J80" s="104"/>
      <c r="K80" s="82"/>
      <c r="L80" s="104"/>
      <c r="M80" s="104"/>
      <c r="N80" s="104"/>
      <c r="O80" s="82"/>
      <c r="P80" s="105"/>
    </row>
    <row r="81" spans="1:16" ht="19.5" customHeight="1">
      <c r="A81" s="114"/>
      <c r="B81" s="115"/>
      <c r="C81" s="82"/>
      <c r="D81" s="82"/>
      <c r="E81" s="128"/>
      <c r="F81" s="104"/>
      <c r="G81" s="104"/>
      <c r="H81" s="104"/>
      <c r="I81" s="104"/>
      <c r="J81" s="104"/>
      <c r="K81" s="82"/>
      <c r="L81" s="104"/>
      <c r="M81" s="104"/>
      <c r="N81" s="104"/>
      <c r="O81" s="82"/>
      <c r="P81" s="105"/>
    </row>
    <row r="82" spans="1:16" ht="19.5" customHeight="1">
      <c r="A82" s="114"/>
      <c r="B82" s="115"/>
      <c r="C82" s="82"/>
      <c r="D82" s="82"/>
      <c r="E82" s="128"/>
      <c r="F82" s="104"/>
      <c r="G82" s="104"/>
      <c r="H82" s="104"/>
      <c r="I82" s="104"/>
      <c r="J82" s="104"/>
      <c r="K82" s="82"/>
      <c r="L82" s="104"/>
      <c r="M82" s="104"/>
      <c r="N82" s="104"/>
      <c r="O82" s="82"/>
      <c r="P82" s="105"/>
    </row>
    <row r="83" spans="1:16" ht="19.5" customHeight="1">
      <c r="A83" s="114"/>
      <c r="B83" s="115"/>
      <c r="C83" s="82"/>
      <c r="D83" s="82"/>
      <c r="E83" s="128"/>
      <c r="F83" s="104"/>
      <c r="G83" s="104"/>
      <c r="H83" s="104"/>
      <c r="I83" s="104"/>
      <c r="J83" s="104"/>
      <c r="K83" s="82"/>
      <c r="L83" s="104"/>
      <c r="M83" s="104"/>
      <c r="N83" s="104"/>
      <c r="O83" s="82"/>
      <c r="P83" s="105"/>
    </row>
    <row r="84" spans="1:16" ht="19.5" customHeight="1">
      <c r="A84" s="114"/>
      <c r="B84" s="115"/>
      <c r="C84" s="82"/>
      <c r="D84" s="82"/>
      <c r="E84" s="128"/>
      <c r="F84" s="104"/>
      <c r="G84" s="104"/>
      <c r="H84" s="104"/>
      <c r="I84" s="104"/>
      <c r="J84" s="104"/>
      <c r="K84" s="82"/>
      <c r="L84" s="104"/>
      <c r="M84" s="104"/>
      <c r="N84" s="104"/>
      <c r="O84" s="82"/>
      <c r="P84" s="105"/>
    </row>
    <row r="85" spans="1:16" ht="19.5" customHeight="1">
      <c r="A85" s="114"/>
      <c r="B85" s="115"/>
      <c r="C85" s="82"/>
      <c r="D85" s="82"/>
      <c r="E85" s="128"/>
      <c r="F85" s="104"/>
      <c r="G85" s="104"/>
      <c r="H85" s="104"/>
      <c r="I85" s="104"/>
      <c r="J85" s="104"/>
      <c r="K85" s="82"/>
      <c r="L85" s="104"/>
      <c r="M85" s="104"/>
      <c r="N85" s="104"/>
      <c r="O85" s="82"/>
      <c r="P85" s="105"/>
    </row>
    <row r="86" spans="1:16" ht="19.5" customHeight="1">
      <c r="A86" s="114"/>
      <c r="B86" s="115"/>
      <c r="C86" s="82"/>
      <c r="D86" s="82"/>
      <c r="E86" s="128"/>
      <c r="F86" s="104"/>
      <c r="G86" s="104"/>
      <c r="H86" s="104"/>
      <c r="I86" s="104"/>
      <c r="J86" s="104"/>
      <c r="K86" s="82"/>
      <c r="L86" s="104"/>
      <c r="M86" s="104"/>
      <c r="N86" s="104"/>
      <c r="O86" s="82"/>
      <c r="P86" s="105"/>
    </row>
    <row r="87" spans="1:16" ht="19.5" customHeight="1">
      <c r="A87" s="114"/>
      <c r="B87" s="115"/>
      <c r="C87" s="82"/>
      <c r="D87" s="82"/>
      <c r="E87" s="128"/>
      <c r="F87" s="104"/>
      <c r="G87" s="104"/>
      <c r="H87" s="104"/>
      <c r="I87" s="104"/>
      <c r="J87" s="104"/>
      <c r="K87" s="82"/>
      <c r="L87" s="104"/>
      <c r="M87" s="104"/>
      <c r="N87" s="104"/>
      <c r="O87" s="82"/>
      <c r="P87" s="105"/>
    </row>
    <row r="88" spans="1:16" ht="19.5" customHeight="1">
      <c r="A88" s="114"/>
      <c r="B88" s="115"/>
      <c r="C88" s="82"/>
      <c r="D88" s="82"/>
      <c r="E88" s="128"/>
      <c r="F88" s="104"/>
      <c r="G88" s="104"/>
      <c r="H88" s="104"/>
      <c r="I88" s="104"/>
      <c r="J88" s="104"/>
      <c r="K88" s="82"/>
      <c r="L88" s="104"/>
      <c r="M88" s="104"/>
      <c r="N88" s="104"/>
      <c r="O88" s="82"/>
      <c r="P88" s="105"/>
    </row>
    <row r="89" spans="1:16" ht="19.5" customHeight="1">
      <c r="A89" s="114"/>
      <c r="B89" s="115"/>
      <c r="C89" s="82"/>
      <c r="D89" s="82"/>
      <c r="E89" s="128"/>
      <c r="F89" s="104"/>
      <c r="G89" s="104"/>
      <c r="H89" s="104"/>
      <c r="I89" s="104"/>
      <c r="J89" s="104"/>
      <c r="K89" s="82"/>
      <c r="L89" s="104"/>
      <c r="M89" s="104"/>
      <c r="N89" s="104"/>
      <c r="O89" s="82"/>
      <c r="P89" s="105"/>
    </row>
    <row r="90" spans="1:16" ht="19.5" customHeight="1">
      <c r="A90" s="114"/>
      <c r="B90" s="115"/>
      <c r="C90" s="82"/>
      <c r="D90" s="82"/>
      <c r="E90" s="128"/>
      <c r="F90" s="104"/>
      <c r="G90" s="104"/>
      <c r="H90" s="104"/>
      <c r="I90" s="104"/>
      <c r="J90" s="104"/>
      <c r="K90" s="82"/>
      <c r="L90" s="104"/>
      <c r="M90" s="104"/>
      <c r="N90" s="104"/>
      <c r="O90" s="82"/>
      <c r="P90" s="105"/>
    </row>
    <row r="91" spans="1:16" ht="19.5" customHeight="1">
      <c r="A91" s="114"/>
      <c r="B91" s="115"/>
      <c r="C91" s="82"/>
      <c r="D91" s="82"/>
      <c r="E91" s="128"/>
      <c r="F91" s="104"/>
      <c r="G91" s="104"/>
      <c r="H91" s="104"/>
      <c r="I91" s="104"/>
      <c r="J91" s="104"/>
      <c r="K91" s="82"/>
      <c r="L91" s="104"/>
      <c r="M91" s="104"/>
      <c r="N91" s="104"/>
      <c r="O91" s="82"/>
      <c r="P91" s="105"/>
    </row>
    <row r="92" spans="1:16" ht="19.5" customHeight="1">
      <c r="A92" s="114"/>
      <c r="B92" s="115"/>
      <c r="C92" s="82"/>
      <c r="D92" s="82"/>
      <c r="E92" s="128"/>
      <c r="F92" s="104"/>
      <c r="G92" s="104"/>
      <c r="H92" s="104"/>
      <c r="I92" s="104"/>
      <c r="J92" s="104"/>
      <c r="K92" s="82"/>
      <c r="L92" s="104"/>
      <c r="M92" s="104"/>
      <c r="N92" s="104"/>
      <c r="O92" s="82"/>
      <c r="P92" s="105"/>
    </row>
    <row r="93" spans="1:16" ht="19.5" customHeight="1">
      <c r="A93" s="114"/>
      <c r="B93" s="115"/>
      <c r="C93" s="82"/>
      <c r="D93" s="82"/>
      <c r="E93" s="128"/>
      <c r="F93" s="104"/>
      <c r="G93" s="104"/>
      <c r="H93" s="104"/>
      <c r="I93" s="104"/>
      <c r="J93" s="104"/>
      <c r="K93" s="82"/>
      <c r="L93" s="104"/>
      <c r="M93" s="104"/>
      <c r="N93" s="104"/>
      <c r="O93" s="82"/>
      <c r="P93" s="105"/>
    </row>
    <row r="94" spans="1:16" ht="19.5" customHeight="1">
      <c r="A94" s="114"/>
      <c r="B94" s="115"/>
      <c r="C94" s="82"/>
      <c r="D94" s="82"/>
      <c r="E94" s="128"/>
      <c r="F94" s="104"/>
      <c r="G94" s="104"/>
      <c r="H94" s="104"/>
      <c r="I94" s="104"/>
      <c r="J94" s="104"/>
      <c r="K94" s="82"/>
      <c r="L94" s="104"/>
      <c r="M94" s="104"/>
      <c r="N94" s="104"/>
      <c r="O94" s="82"/>
      <c r="P94" s="105"/>
    </row>
    <row r="95" spans="1:16" ht="19.5" customHeight="1">
      <c r="A95" s="114"/>
      <c r="B95" s="115"/>
      <c r="C95" s="82"/>
      <c r="D95" s="82"/>
      <c r="E95" s="128"/>
      <c r="F95" s="104"/>
      <c r="G95" s="104"/>
      <c r="H95" s="104"/>
      <c r="I95" s="104"/>
      <c r="J95" s="104"/>
      <c r="K95" s="82"/>
      <c r="L95" s="104"/>
      <c r="M95" s="104"/>
      <c r="N95" s="104"/>
      <c r="O95" s="82"/>
      <c r="P95" s="105"/>
    </row>
    <row r="96" spans="1:16" ht="19.5" customHeight="1">
      <c r="A96" s="114"/>
      <c r="B96" s="115"/>
      <c r="C96" s="82"/>
      <c r="D96" s="82"/>
      <c r="E96" s="128"/>
      <c r="F96" s="104"/>
      <c r="G96" s="104"/>
      <c r="H96" s="104"/>
      <c r="I96" s="104"/>
      <c r="J96" s="104"/>
      <c r="K96" s="82"/>
      <c r="L96" s="104"/>
      <c r="M96" s="104"/>
      <c r="N96" s="104"/>
      <c r="O96" s="82"/>
      <c r="P96" s="105"/>
    </row>
    <row r="97" spans="1:16" ht="19.5" customHeight="1">
      <c r="A97" s="114"/>
      <c r="B97" s="115"/>
      <c r="C97" s="82"/>
      <c r="D97" s="82"/>
      <c r="E97" s="128"/>
      <c r="F97" s="104"/>
      <c r="G97" s="104"/>
      <c r="H97" s="104"/>
      <c r="I97" s="104"/>
      <c r="J97" s="104"/>
      <c r="K97" s="82"/>
      <c r="L97" s="104"/>
      <c r="M97" s="104"/>
      <c r="N97" s="104"/>
      <c r="O97" s="82"/>
      <c r="P97" s="105"/>
    </row>
    <row r="98" spans="1:16" ht="19.5" customHeight="1">
      <c r="A98" s="114"/>
      <c r="B98" s="115"/>
      <c r="C98" s="82"/>
      <c r="D98" s="82"/>
      <c r="E98" s="128"/>
      <c r="F98" s="104"/>
      <c r="G98" s="104"/>
      <c r="H98" s="104"/>
      <c r="I98" s="104"/>
      <c r="J98" s="104"/>
      <c r="K98" s="82"/>
      <c r="L98" s="104"/>
      <c r="M98" s="104"/>
      <c r="N98" s="104"/>
      <c r="O98" s="82"/>
      <c r="P98" s="105"/>
    </row>
    <row r="99" spans="1:16" ht="19.5" customHeight="1">
      <c r="A99" s="114"/>
      <c r="B99" s="115"/>
      <c r="C99" s="82"/>
      <c r="D99" s="82"/>
      <c r="E99" s="128"/>
      <c r="F99" s="104"/>
      <c r="G99" s="104"/>
      <c r="H99" s="104"/>
      <c r="I99" s="104"/>
      <c r="J99" s="104"/>
      <c r="K99" s="82"/>
      <c r="L99" s="104"/>
      <c r="M99" s="104"/>
      <c r="N99" s="104"/>
      <c r="O99" s="82"/>
      <c r="P99" s="105"/>
    </row>
    <row r="100" spans="1:16" ht="19.5" customHeight="1">
      <c r="A100" s="114"/>
      <c r="B100" s="115"/>
      <c r="C100" s="82"/>
      <c r="D100" s="82"/>
      <c r="E100" s="128"/>
      <c r="F100" s="104"/>
      <c r="G100" s="104"/>
      <c r="H100" s="104"/>
      <c r="I100" s="104"/>
      <c r="J100" s="104"/>
      <c r="K100" s="82"/>
      <c r="L100" s="104"/>
      <c r="M100" s="104"/>
      <c r="N100" s="104"/>
      <c r="O100" s="82"/>
      <c r="P100" s="105"/>
    </row>
    <row r="101" spans="1:16" ht="19.5" customHeight="1">
      <c r="A101" s="114"/>
      <c r="B101" s="115"/>
      <c r="C101" s="82"/>
      <c r="D101" s="82"/>
      <c r="E101" s="128"/>
      <c r="F101" s="104"/>
      <c r="G101" s="104"/>
      <c r="H101" s="104"/>
      <c r="I101" s="104"/>
      <c r="J101" s="104"/>
      <c r="K101" s="82"/>
      <c r="L101" s="104"/>
      <c r="M101" s="104"/>
      <c r="N101" s="104"/>
      <c r="O101" s="82"/>
      <c r="P101" s="105"/>
    </row>
    <row r="102" spans="1:16" ht="19.5" customHeight="1">
      <c r="A102" s="114"/>
      <c r="B102" s="115"/>
      <c r="C102" s="82"/>
      <c r="D102" s="82"/>
      <c r="E102" s="128"/>
      <c r="F102" s="104"/>
      <c r="G102" s="104"/>
      <c r="H102" s="104"/>
      <c r="I102" s="104"/>
      <c r="J102" s="104"/>
      <c r="K102" s="82"/>
      <c r="L102" s="104"/>
      <c r="M102" s="104"/>
      <c r="N102" s="104"/>
      <c r="O102" s="82"/>
      <c r="P102" s="105"/>
    </row>
    <row r="103" spans="1:16" ht="19.5" customHeight="1">
      <c r="A103" s="114"/>
      <c r="B103" s="115"/>
      <c r="C103" s="82"/>
      <c r="D103" s="82"/>
      <c r="E103" s="128"/>
      <c r="F103" s="104"/>
      <c r="G103" s="104"/>
      <c r="H103" s="104"/>
      <c r="I103" s="104"/>
      <c r="J103" s="104"/>
      <c r="K103" s="82"/>
      <c r="L103" s="104"/>
      <c r="M103" s="104"/>
      <c r="N103" s="104"/>
      <c r="O103" s="82"/>
      <c r="P103" s="105"/>
    </row>
    <row r="104" spans="1:16" ht="19.5" customHeight="1">
      <c r="A104" s="114"/>
      <c r="B104" s="115"/>
      <c r="C104" s="82"/>
      <c r="D104" s="82"/>
      <c r="E104" s="128"/>
      <c r="F104" s="104"/>
      <c r="G104" s="104"/>
      <c r="H104" s="104"/>
      <c r="I104" s="104"/>
      <c r="J104" s="104"/>
      <c r="K104" s="82"/>
      <c r="L104" s="104"/>
      <c r="M104" s="104"/>
      <c r="N104" s="104"/>
      <c r="O104" s="82"/>
      <c r="P104" s="105"/>
    </row>
    <row r="105" spans="1:16" ht="19.5" customHeight="1">
      <c r="A105" s="114"/>
      <c r="B105" s="115"/>
      <c r="C105" s="82"/>
      <c r="D105" s="82"/>
      <c r="E105" s="128"/>
      <c r="F105" s="104"/>
      <c r="G105" s="104"/>
      <c r="H105" s="104"/>
      <c r="I105" s="104"/>
      <c r="J105" s="104"/>
      <c r="K105" s="82"/>
      <c r="L105" s="104"/>
      <c r="M105" s="104"/>
      <c r="N105" s="104"/>
      <c r="O105" s="82"/>
      <c r="P105" s="105"/>
    </row>
    <row r="106" spans="1:16" ht="19.5" customHeight="1">
      <c r="A106" s="114"/>
      <c r="B106" s="115"/>
      <c r="C106" s="82"/>
      <c r="D106" s="82"/>
      <c r="E106" s="128"/>
      <c r="F106" s="104"/>
      <c r="G106" s="104"/>
      <c r="H106" s="104"/>
      <c r="I106" s="104"/>
      <c r="J106" s="104"/>
      <c r="K106" s="82"/>
      <c r="L106" s="104"/>
      <c r="M106" s="104"/>
      <c r="N106" s="104"/>
      <c r="O106" s="82"/>
      <c r="P106" s="105"/>
    </row>
    <row r="107" spans="1:16" ht="19.5" customHeight="1">
      <c r="A107" s="114"/>
      <c r="B107" s="115"/>
      <c r="C107" s="82"/>
      <c r="D107" s="82"/>
      <c r="E107" s="128"/>
      <c r="F107" s="104"/>
      <c r="G107" s="104"/>
      <c r="H107" s="104"/>
      <c r="I107" s="104"/>
      <c r="J107" s="104"/>
      <c r="K107" s="82"/>
      <c r="L107" s="104"/>
      <c r="M107" s="104"/>
      <c r="N107" s="104"/>
      <c r="O107" s="82"/>
      <c r="P107" s="105"/>
    </row>
    <row r="108" spans="1:16" ht="19.5" customHeight="1">
      <c r="A108" s="114"/>
      <c r="B108" s="115"/>
      <c r="C108" s="82"/>
      <c r="D108" s="82"/>
      <c r="E108" s="128"/>
      <c r="F108" s="104"/>
      <c r="G108" s="104"/>
      <c r="H108" s="104"/>
      <c r="I108" s="104"/>
      <c r="J108" s="104"/>
      <c r="K108" s="82"/>
      <c r="L108" s="104"/>
      <c r="M108" s="104"/>
      <c r="N108" s="104"/>
      <c r="O108" s="82"/>
      <c r="P108" s="105"/>
    </row>
    <row r="109" spans="1:16" ht="19.5" customHeight="1">
      <c r="A109" s="114"/>
      <c r="B109" s="115"/>
      <c r="C109" s="82"/>
      <c r="D109" s="82"/>
      <c r="E109" s="128"/>
      <c r="F109" s="104"/>
      <c r="G109" s="104"/>
      <c r="H109" s="104"/>
      <c r="I109" s="104"/>
      <c r="J109" s="104"/>
      <c r="K109" s="82"/>
      <c r="L109" s="104"/>
      <c r="M109" s="104"/>
      <c r="N109" s="104"/>
      <c r="O109" s="82"/>
      <c r="P109" s="105"/>
    </row>
    <row r="110" spans="1:16" ht="19.5" customHeight="1">
      <c r="A110" s="114"/>
      <c r="B110" s="115"/>
      <c r="C110" s="82"/>
      <c r="D110" s="82"/>
      <c r="E110" s="128"/>
      <c r="F110" s="104"/>
      <c r="G110" s="104"/>
      <c r="H110" s="104"/>
      <c r="I110" s="104"/>
      <c r="J110" s="104"/>
      <c r="K110" s="82"/>
      <c r="L110" s="104"/>
      <c r="M110" s="104"/>
      <c r="N110" s="104"/>
      <c r="O110" s="82"/>
      <c r="P110" s="105"/>
    </row>
    <row r="111" spans="1:16" ht="19.5" customHeight="1">
      <c r="A111" s="114"/>
      <c r="B111" s="115"/>
      <c r="C111" s="82"/>
      <c r="D111" s="82"/>
      <c r="E111" s="128"/>
      <c r="F111" s="104"/>
      <c r="G111" s="104"/>
      <c r="H111" s="104"/>
      <c r="I111" s="104"/>
      <c r="J111" s="104"/>
      <c r="K111" s="82"/>
      <c r="L111" s="104"/>
      <c r="M111" s="104"/>
      <c r="N111" s="104"/>
      <c r="O111" s="82"/>
      <c r="P111" s="105"/>
    </row>
    <row r="112" spans="1:3" ht="19.5" customHeight="1">
      <c r="A112" s="29"/>
      <c r="B112" s="29"/>
      <c r="C112" s="29"/>
    </row>
    <row r="113" spans="1:3" ht="19.5" customHeight="1">
      <c r="A113" s="29"/>
      <c r="B113" s="29"/>
      <c r="C113" s="29"/>
    </row>
    <row r="114" spans="1:3" ht="19.5" customHeight="1">
      <c r="A114" s="29"/>
      <c r="B114" s="29"/>
      <c r="C114" s="29"/>
    </row>
    <row r="115" spans="1:3" ht="19.5" customHeight="1">
      <c r="A115" s="29"/>
      <c r="B115" s="29"/>
      <c r="C115" s="29"/>
    </row>
    <row r="116" spans="1:3" ht="19.5" customHeight="1">
      <c r="A116" s="29"/>
      <c r="B116" s="29"/>
      <c r="C116" s="29"/>
    </row>
    <row r="117" spans="1:3" ht="19.5" customHeight="1">
      <c r="A117" s="29"/>
      <c r="B117" s="29"/>
      <c r="C117" s="29"/>
    </row>
    <row r="118" spans="1:3" ht="19.5" customHeight="1">
      <c r="A118" s="29"/>
      <c r="B118" s="29"/>
      <c r="C118" s="29"/>
    </row>
    <row r="119" spans="1:3" ht="19.5" customHeight="1">
      <c r="A119" s="29"/>
      <c r="B119" s="29"/>
      <c r="C119" s="29"/>
    </row>
    <row r="120" spans="1:3" ht="19.5" customHeight="1">
      <c r="A120" s="29"/>
      <c r="B120" s="29"/>
      <c r="C120" s="29"/>
    </row>
    <row r="121" spans="1:3" ht="19.5" customHeight="1">
      <c r="A121" s="29"/>
      <c r="B121" s="29"/>
      <c r="C121" s="29"/>
    </row>
    <row r="122" spans="1:3" ht="19.5" customHeight="1">
      <c r="A122" s="29"/>
      <c r="B122" s="29"/>
      <c r="C122" s="29"/>
    </row>
    <row r="123" spans="1:3" ht="19.5" customHeight="1">
      <c r="A123" s="29"/>
      <c r="B123" s="29"/>
      <c r="C123" s="29"/>
    </row>
    <row r="124" spans="1:3" ht="19.5" customHeight="1">
      <c r="A124" s="29"/>
      <c r="B124" s="29"/>
      <c r="C124" s="29"/>
    </row>
    <row r="125" spans="1:3" ht="19.5" customHeight="1">
      <c r="A125" s="29"/>
      <c r="B125" s="29"/>
      <c r="C125" s="29"/>
    </row>
    <row r="126" spans="1:3" ht="19.5" customHeight="1">
      <c r="A126" s="29"/>
      <c r="B126" s="29"/>
      <c r="C126" s="29"/>
    </row>
    <row r="127" spans="1:3" ht="19.5" customHeight="1">
      <c r="A127" s="29"/>
      <c r="B127" s="29"/>
      <c r="C127" s="29"/>
    </row>
    <row r="128" spans="1:3" ht="19.5" customHeight="1">
      <c r="A128" s="29"/>
      <c r="B128" s="29"/>
      <c r="C128" s="29"/>
    </row>
    <row r="129" spans="1:3" ht="19.5" customHeight="1">
      <c r="A129" s="29"/>
      <c r="B129" s="29"/>
      <c r="C129" s="29"/>
    </row>
    <row r="130" spans="1:3" ht="19.5" customHeight="1">
      <c r="A130" s="29"/>
      <c r="B130" s="29"/>
      <c r="C130" s="29"/>
    </row>
    <row r="131" spans="1:3" ht="19.5" customHeight="1">
      <c r="A131" s="29"/>
      <c r="B131" s="29"/>
      <c r="C131" s="29"/>
    </row>
    <row r="132" spans="1:3" ht="19.5" customHeight="1">
      <c r="A132" s="29"/>
      <c r="B132" s="29"/>
      <c r="C132" s="29"/>
    </row>
    <row r="133" spans="1:3" ht="19.5" customHeight="1">
      <c r="A133" s="29"/>
      <c r="B133" s="29"/>
      <c r="C133" s="29"/>
    </row>
    <row r="134" spans="1:3" ht="19.5" customHeight="1">
      <c r="A134" s="29"/>
      <c r="B134" s="29"/>
      <c r="C134" s="29"/>
    </row>
    <row r="135" spans="1:3" ht="19.5" customHeight="1">
      <c r="A135" s="29"/>
      <c r="B135" s="29"/>
      <c r="C135" s="29"/>
    </row>
    <row r="136" spans="1:3" ht="19.5" customHeight="1">
      <c r="A136" s="29"/>
      <c r="B136" s="29"/>
      <c r="C136" s="29"/>
    </row>
    <row r="137" spans="1:3" ht="19.5" customHeight="1">
      <c r="A137" s="29"/>
      <c r="B137" s="29"/>
      <c r="C137" s="29"/>
    </row>
    <row r="138" spans="1:3" ht="19.5" customHeight="1">
      <c r="A138" s="29"/>
      <c r="B138" s="29"/>
      <c r="C138" s="29"/>
    </row>
    <row r="139" spans="1:3" ht="19.5" customHeight="1">
      <c r="A139" s="29"/>
      <c r="B139" s="29"/>
      <c r="C139" s="29"/>
    </row>
    <row r="140" spans="1:3" ht="19.5" customHeight="1">
      <c r="A140" s="29"/>
      <c r="B140" s="29"/>
      <c r="C140" s="29"/>
    </row>
    <row r="141" spans="1:3" ht="19.5" customHeight="1">
      <c r="A141" s="29"/>
      <c r="B141" s="29"/>
      <c r="C141" s="29"/>
    </row>
    <row r="142" spans="1:3" ht="19.5" customHeight="1">
      <c r="A142" s="29"/>
      <c r="B142" s="29"/>
      <c r="C142" s="29"/>
    </row>
    <row r="143" spans="1:3" ht="19.5" customHeight="1">
      <c r="A143" s="29"/>
      <c r="B143" s="29"/>
      <c r="C143" s="29"/>
    </row>
    <row r="144" spans="1:3" ht="19.5" customHeight="1">
      <c r="A144" s="29"/>
      <c r="B144" s="29"/>
      <c r="C144" s="29"/>
    </row>
    <row r="145" spans="1:3" ht="19.5" customHeight="1">
      <c r="A145" s="29"/>
      <c r="B145" s="29"/>
      <c r="C145" s="29"/>
    </row>
    <row r="146" spans="1:3" ht="19.5" customHeight="1">
      <c r="A146" s="29"/>
      <c r="B146" s="29"/>
      <c r="C146" s="29"/>
    </row>
    <row r="147" spans="1:3" ht="19.5" customHeight="1">
      <c r="A147" s="29"/>
      <c r="B147" s="29"/>
      <c r="C147" s="29"/>
    </row>
    <row r="148" spans="1:3" ht="19.5" customHeight="1">
      <c r="A148" s="29"/>
      <c r="B148" s="29"/>
      <c r="C148" s="29"/>
    </row>
    <row r="149" spans="1:3" ht="19.5" customHeight="1">
      <c r="A149" s="29"/>
      <c r="B149" s="29"/>
      <c r="C149" s="29"/>
    </row>
    <row r="150" spans="1:3" ht="19.5" customHeight="1">
      <c r="A150" s="29"/>
      <c r="B150" s="29"/>
      <c r="C150" s="29"/>
    </row>
    <row r="151" spans="1:3" ht="19.5" customHeight="1">
      <c r="A151" s="29"/>
      <c r="B151" s="29"/>
      <c r="C151" s="29"/>
    </row>
    <row r="152" spans="1:3" ht="19.5" customHeight="1">
      <c r="A152" s="29"/>
      <c r="B152" s="29"/>
      <c r="C152" s="29"/>
    </row>
    <row r="153" spans="1:3" ht="19.5" customHeight="1">
      <c r="A153" s="29"/>
      <c r="B153" s="29"/>
      <c r="C153" s="29"/>
    </row>
    <row r="154" spans="1:3" ht="19.5" customHeight="1">
      <c r="A154" s="29"/>
      <c r="B154" s="29"/>
      <c r="C154" s="29"/>
    </row>
    <row r="155" spans="1:3" ht="19.5" customHeight="1">
      <c r="A155" s="29"/>
      <c r="B155" s="29"/>
      <c r="C155" s="29"/>
    </row>
    <row r="156" spans="1:3" ht="19.5" customHeight="1">
      <c r="A156" s="29"/>
      <c r="B156" s="29"/>
      <c r="C156" s="29"/>
    </row>
    <row r="157" spans="1:3" ht="19.5" customHeight="1">
      <c r="A157" s="29"/>
      <c r="B157" s="29"/>
      <c r="C157" s="29"/>
    </row>
    <row r="158" spans="1:3" ht="19.5" customHeight="1">
      <c r="A158" s="29"/>
      <c r="B158" s="29"/>
      <c r="C158" s="29"/>
    </row>
    <row r="159" spans="1:3" ht="19.5" customHeight="1">
      <c r="A159" s="29"/>
      <c r="B159" s="29"/>
      <c r="C159" s="29"/>
    </row>
    <row r="160" spans="1:3" ht="19.5" customHeight="1">
      <c r="A160" s="29"/>
      <c r="B160" s="29"/>
      <c r="C160" s="29"/>
    </row>
    <row r="161" spans="1:3" ht="19.5" customHeight="1">
      <c r="A161" s="29"/>
      <c r="B161" s="29"/>
      <c r="C161" s="29"/>
    </row>
    <row r="162" spans="1:3" ht="19.5" customHeight="1">
      <c r="A162" s="29"/>
      <c r="B162" s="29"/>
      <c r="C162" s="29"/>
    </row>
    <row r="163" spans="1:3" ht="19.5" customHeight="1">
      <c r="A163" s="29"/>
      <c r="B163" s="29"/>
      <c r="C163" s="29"/>
    </row>
    <row r="164" spans="1:3" ht="19.5" customHeight="1">
      <c r="A164" s="29"/>
      <c r="B164" s="29"/>
      <c r="C164" s="29"/>
    </row>
    <row r="165" spans="1:3" ht="19.5" customHeight="1">
      <c r="A165" s="29"/>
      <c r="B165" s="29"/>
      <c r="C165" s="29"/>
    </row>
    <row r="166" spans="1:3" ht="19.5" customHeight="1">
      <c r="A166" s="29"/>
      <c r="B166" s="29"/>
      <c r="C166" s="29"/>
    </row>
    <row r="167" spans="1:3" ht="19.5" customHeight="1">
      <c r="A167" s="29"/>
      <c r="B167" s="29"/>
      <c r="C167" s="29"/>
    </row>
    <row r="168" spans="1:3" ht="19.5" customHeight="1">
      <c r="A168" s="29"/>
      <c r="B168" s="29"/>
      <c r="C168" s="29"/>
    </row>
    <row r="169" spans="1:3" ht="19.5" customHeight="1">
      <c r="A169" s="29"/>
      <c r="B169" s="29"/>
      <c r="C169" s="29"/>
    </row>
    <row r="170" spans="1:3" ht="19.5" customHeight="1">
      <c r="A170" s="29"/>
      <c r="B170" s="29"/>
      <c r="C170" s="29"/>
    </row>
    <row r="171" spans="1:3" ht="19.5" customHeight="1">
      <c r="A171" s="29"/>
      <c r="B171" s="29"/>
      <c r="C171" s="29"/>
    </row>
    <row r="172" spans="1:3" ht="19.5" customHeight="1">
      <c r="A172" s="29"/>
      <c r="B172" s="29"/>
      <c r="C172" s="29"/>
    </row>
    <row r="173" spans="1:3" ht="19.5" customHeight="1">
      <c r="A173" s="29"/>
      <c r="B173" s="29"/>
      <c r="C173" s="29"/>
    </row>
    <row r="174" spans="1:3" ht="19.5" customHeight="1">
      <c r="A174" s="29"/>
      <c r="B174" s="29"/>
      <c r="C174" s="29"/>
    </row>
    <row r="175" spans="1:3" ht="19.5" customHeight="1">
      <c r="A175" s="29"/>
      <c r="B175" s="29"/>
      <c r="C175" s="29"/>
    </row>
    <row r="176" spans="1:3" ht="19.5" customHeight="1">
      <c r="A176" s="29"/>
      <c r="B176" s="29"/>
      <c r="C176" s="29"/>
    </row>
    <row r="177" spans="1:3" ht="19.5" customHeight="1">
      <c r="A177" s="29"/>
      <c r="B177" s="29"/>
      <c r="C177" s="29"/>
    </row>
    <row r="178" spans="1:3" ht="19.5" customHeight="1">
      <c r="A178" s="29"/>
      <c r="B178" s="29"/>
      <c r="C178" s="29"/>
    </row>
    <row r="179" spans="1:3" ht="19.5" customHeight="1">
      <c r="A179" s="29"/>
      <c r="B179" s="29"/>
      <c r="C179" s="29"/>
    </row>
    <row r="180" spans="1:3" ht="19.5" customHeight="1">
      <c r="A180" s="29"/>
      <c r="B180" s="29"/>
      <c r="C180" s="29"/>
    </row>
    <row r="181" spans="1:3" ht="19.5" customHeight="1">
      <c r="A181" s="29"/>
      <c r="B181" s="29"/>
      <c r="C181" s="29"/>
    </row>
    <row r="182" spans="1:3" ht="19.5" customHeight="1">
      <c r="A182" s="29"/>
      <c r="B182" s="29"/>
      <c r="C182" s="29"/>
    </row>
    <row r="183" spans="1:3" ht="19.5" customHeight="1">
      <c r="A183" s="29"/>
      <c r="B183" s="29"/>
      <c r="C183" s="29"/>
    </row>
    <row r="184" spans="1:3" ht="19.5" customHeight="1">
      <c r="A184" s="29"/>
      <c r="B184" s="29"/>
      <c r="C184" s="29"/>
    </row>
    <row r="185" spans="1:3" ht="19.5" customHeight="1">
      <c r="A185" s="29"/>
      <c r="B185" s="29"/>
      <c r="C185" s="29"/>
    </row>
    <row r="186" spans="1:3" ht="19.5" customHeight="1">
      <c r="A186" s="29"/>
      <c r="B186" s="29"/>
      <c r="C186" s="29"/>
    </row>
    <row r="187" spans="1:3" ht="19.5" customHeight="1">
      <c r="A187" s="29"/>
      <c r="B187" s="29"/>
      <c r="C187" s="29"/>
    </row>
    <row r="188" spans="1:3" ht="19.5" customHeight="1">
      <c r="A188" s="29"/>
      <c r="B188" s="29"/>
      <c r="C188" s="29"/>
    </row>
    <row r="189" spans="1:3" ht="19.5" customHeight="1">
      <c r="A189" s="29"/>
      <c r="B189" s="29"/>
      <c r="C189" s="29"/>
    </row>
    <row r="190" spans="1:3" ht="19.5" customHeight="1">
      <c r="A190" s="29"/>
      <c r="B190" s="29"/>
      <c r="C190" s="29"/>
    </row>
    <row r="191" spans="1:3" ht="19.5" customHeight="1">
      <c r="A191" s="29"/>
      <c r="B191" s="29"/>
      <c r="C191" s="29"/>
    </row>
    <row r="192" spans="1:3" ht="19.5" customHeight="1">
      <c r="A192" s="29"/>
      <c r="B192" s="29"/>
      <c r="C192" s="29"/>
    </row>
    <row r="193" spans="1:3" ht="19.5" customHeight="1">
      <c r="A193" s="29"/>
      <c r="B193" s="29"/>
      <c r="C193" s="29"/>
    </row>
    <row r="194" spans="1:3" ht="19.5" customHeight="1">
      <c r="A194" s="29"/>
      <c r="B194" s="29"/>
      <c r="C194" s="29"/>
    </row>
    <row r="195" spans="1:3" ht="19.5" customHeight="1">
      <c r="A195" s="29"/>
      <c r="B195" s="29"/>
      <c r="C195" s="29"/>
    </row>
    <row r="196" spans="1:3" ht="19.5" customHeight="1">
      <c r="A196" s="29"/>
      <c r="B196" s="29"/>
      <c r="C196" s="29"/>
    </row>
    <row r="197" spans="1:3" ht="19.5" customHeight="1">
      <c r="A197" s="29"/>
      <c r="B197" s="29"/>
      <c r="C197" s="29"/>
    </row>
    <row r="198" spans="1:3" ht="19.5" customHeight="1">
      <c r="A198" s="29"/>
      <c r="B198" s="29"/>
      <c r="C198" s="29"/>
    </row>
    <row r="199" spans="1:3" ht="19.5" customHeight="1">
      <c r="A199" s="29"/>
      <c r="B199" s="29"/>
      <c r="C199" s="29"/>
    </row>
    <row r="200" spans="1:3" ht="19.5" customHeight="1">
      <c r="A200" s="29"/>
      <c r="B200" s="29"/>
      <c r="C200" s="29"/>
    </row>
    <row r="201" spans="1:3" ht="19.5" customHeight="1">
      <c r="A201" s="29"/>
      <c r="B201" s="29"/>
      <c r="C201" s="29"/>
    </row>
    <row r="202" spans="1:3" ht="19.5" customHeight="1">
      <c r="A202" s="29"/>
      <c r="B202" s="29"/>
      <c r="C202" s="29"/>
    </row>
    <row r="203" spans="1:3" ht="19.5" customHeight="1">
      <c r="A203" s="29"/>
      <c r="B203" s="29"/>
      <c r="C203" s="29"/>
    </row>
    <row r="204" spans="1:3" ht="19.5" customHeight="1">
      <c r="A204" s="29"/>
      <c r="B204" s="29"/>
      <c r="C204" s="29"/>
    </row>
    <row r="205" spans="1:3" ht="19.5" customHeight="1">
      <c r="A205" s="29"/>
      <c r="B205" s="29"/>
      <c r="C205" s="29"/>
    </row>
    <row r="206" spans="1:3" ht="19.5" customHeight="1">
      <c r="A206" s="29"/>
      <c r="B206" s="29"/>
      <c r="C206" s="29"/>
    </row>
    <row r="207" spans="1:3" ht="19.5" customHeight="1">
      <c r="A207" s="29"/>
      <c r="B207" s="29"/>
      <c r="C207" s="29"/>
    </row>
    <row r="208" spans="1:3" ht="19.5" customHeight="1">
      <c r="A208" s="29"/>
      <c r="B208" s="29"/>
      <c r="C208" s="29"/>
    </row>
    <row r="209" spans="1:3" ht="19.5" customHeight="1">
      <c r="A209" s="29"/>
      <c r="B209" s="29"/>
      <c r="C209" s="29"/>
    </row>
    <row r="210" spans="1:3" ht="19.5" customHeight="1">
      <c r="A210" s="29"/>
      <c r="B210" s="29"/>
      <c r="C210" s="29"/>
    </row>
    <row r="211" spans="1:3" ht="19.5" customHeight="1">
      <c r="A211" s="29"/>
      <c r="B211" s="29"/>
      <c r="C211" s="29"/>
    </row>
    <row r="212" spans="1:3" ht="19.5" customHeight="1">
      <c r="A212" s="29"/>
      <c r="B212" s="29"/>
      <c r="C212" s="29"/>
    </row>
    <row r="213" spans="1:3" ht="19.5" customHeight="1">
      <c r="A213" s="29"/>
      <c r="B213" s="29"/>
      <c r="C213" s="29"/>
    </row>
    <row r="214" spans="1:3" ht="19.5" customHeight="1">
      <c r="A214" s="29"/>
      <c r="B214" s="29"/>
      <c r="C214" s="29"/>
    </row>
    <row r="215" spans="1:3" ht="19.5" customHeight="1">
      <c r="A215" s="29"/>
      <c r="B215" s="29"/>
      <c r="C215" s="29"/>
    </row>
    <row r="216" spans="1:3" ht="19.5" customHeight="1">
      <c r="A216" s="29"/>
      <c r="B216" s="29"/>
      <c r="C216" s="29"/>
    </row>
    <row r="217" spans="1:3" ht="19.5" customHeight="1">
      <c r="A217" s="29"/>
      <c r="B217" s="29"/>
      <c r="C217" s="29"/>
    </row>
    <row r="218" spans="1:3" ht="19.5" customHeight="1">
      <c r="A218" s="29"/>
      <c r="B218" s="29"/>
      <c r="C218" s="29"/>
    </row>
    <row r="219" spans="1:3" ht="19.5" customHeight="1">
      <c r="A219" s="29"/>
      <c r="B219" s="29"/>
      <c r="C219" s="29"/>
    </row>
    <row r="220" spans="1:3" ht="19.5" customHeight="1">
      <c r="A220" s="29"/>
      <c r="B220" s="29"/>
      <c r="C220" s="29"/>
    </row>
    <row r="221" spans="1:3" ht="19.5" customHeight="1">
      <c r="A221" s="29"/>
      <c r="B221" s="29"/>
      <c r="C221" s="29"/>
    </row>
    <row r="222" spans="1:3" ht="19.5" customHeight="1">
      <c r="A222" s="29"/>
      <c r="B222" s="29"/>
      <c r="C222" s="29"/>
    </row>
    <row r="223" spans="1:3" ht="19.5" customHeight="1">
      <c r="A223" s="29"/>
      <c r="B223" s="29"/>
      <c r="C223" s="29"/>
    </row>
    <row r="224" spans="1:3" ht="19.5" customHeight="1">
      <c r="A224" s="29"/>
      <c r="B224" s="29"/>
      <c r="C224" s="29"/>
    </row>
    <row r="225" spans="1:3" ht="19.5" customHeight="1">
      <c r="A225" s="29"/>
      <c r="B225" s="29"/>
      <c r="C225" s="29"/>
    </row>
    <row r="226" spans="1:3" ht="19.5" customHeight="1">
      <c r="A226" s="29"/>
      <c r="B226" s="29"/>
      <c r="C226" s="29"/>
    </row>
    <row r="227" spans="1:3" ht="19.5" customHeight="1">
      <c r="A227" s="29"/>
      <c r="B227" s="29"/>
      <c r="C227" s="29"/>
    </row>
    <row r="228" spans="1:3" ht="19.5" customHeight="1">
      <c r="A228" s="29"/>
      <c r="B228" s="29"/>
      <c r="C228" s="29"/>
    </row>
    <row r="229" spans="1:3" ht="19.5" customHeight="1">
      <c r="A229" s="29"/>
      <c r="B229" s="29"/>
      <c r="C229" s="29"/>
    </row>
    <row r="230" spans="1:3" ht="19.5" customHeight="1">
      <c r="A230" s="29"/>
      <c r="B230" s="29"/>
      <c r="C230" s="29"/>
    </row>
    <row r="231" spans="1:3" ht="19.5" customHeight="1">
      <c r="A231" s="29"/>
      <c r="B231" s="29"/>
      <c r="C231" s="29"/>
    </row>
    <row r="232" spans="1:3" ht="19.5" customHeight="1">
      <c r="A232" s="29"/>
      <c r="B232" s="29"/>
      <c r="C232" s="29"/>
    </row>
    <row r="233" spans="1:3" ht="19.5" customHeight="1">
      <c r="A233" s="29"/>
      <c r="B233" s="29"/>
      <c r="C233" s="29"/>
    </row>
    <row r="234" spans="1:3" ht="19.5" customHeight="1">
      <c r="A234" s="29"/>
      <c r="B234" s="29"/>
      <c r="C234" s="29"/>
    </row>
    <row r="235" spans="1:3" ht="19.5" customHeight="1">
      <c r="A235" s="29"/>
      <c r="B235" s="29"/>
      <c r="C235" s="29"/>
    </row>
    <row r="236" spans="1:3" ht="19.5" customHeight="1">
      <c r="A236" s="29"/>
      <c r="B236" s="29"/>
      <c r="C236" s="29"/>
    </row>
    <row r="237" spans="1:3" ht="19.5" customHeight="1">
      <c r="A237" s="29"/>
      <c r="B237" s="29"/>
      <c r="C237" s="29"/>
    </row>
    <row r="238" spans="1:3" ht="19.5" customHeight="1">
      <c r="A238" s="29"/>
      <c r="B238" s="29"/>
      <c r="C238" s="29"/>
    </row>
    <row r="239" spans="1:3" ht="19.5" customHeight="1">
      <c r="A239" s="29"/>
      <c r="B239" s="29"/>
      <c r="C239" s="29"/>
    </row>
    <row r="240" spans="1:3" ht="19.5" customHeight="1">
      <c r="A240" s="29"/>
      <c r="B240" s="29"/>
      <c r="C240" s="29"/>
    </row>
    <row r="241" spans="1:3" ht="19.5" customHeight="1">
      <c r="A241" s="29"/>
      <c r="B241" s="29"/>
      <c r="C241" s="29"/>
    </row>
    <row r="242" spans="1:3" ht="19.5" customHeight="1">
      <c r="A242" s="29"/>
      <c r="B242" s="29"/>
      <c r="C242" s="29"/>
    </row>
    <row r="243" spans="1:3" ht="19.5" customHeight="1">
      <c r="A243" s="29"/>
      <c r="B243" s="29"/>
      <c r="C243" s="29"/>
    </row>
    <row r="244" spans="1:3" ht="19.5" customHeight="1">
      <c r="A244" s="29"/>
      <c r="B244" s="29"/>
      <c r="C244" s="29"/>
    </row>
    <row r="245" spans="1:3" ht="19.5" customHeight="1">
      <c r="A245" s="29"/>
      <c r="B245" s="29"/>
      <c r="C245" s="29"/>
    </row>
    <row r="246" spans="1:3" ht="19.5" customHeight="1">
      <c r="A246" s="29"/>
      <c r="B246" s="29"/>
      <c r="C246" s="29"/>
    </row>
    <row r="247" spans="1:3" ht="19.5" customHeight="1">
      <c r="A247" s="29"/>
      <c r="B247" s="29"/>
      <c r="C247" s="29"/>
    </row>
    <row r="248" spans="1:3" ht="19.5" customHeight="1">
      <c r="A248" s="29"/>
      <c r="B248" s="29"/>
      <c r="C248" s="29"/>
    </row>
    <row r="249" spans="1:3" ht="19.5" customHeight="1">
      <c r="A249" s="29"/>
      <c r="B249" s="29"/>
      <c r="C249" s="29"/>
    </row>
    <row r="250" spans="1:3" ht="19.5" customHeight="1">
      <c r="A250" s="29"/>
      <c r="B250" s="29"/>
      <c r="C250" s="29"/>
    </row>
    <row r="251" spans="1:3" ht="19.5" customHeight="1">
      <c r="A251" s="29"/>
      <c r="B251" s="29"/>
      <c r="C251" s="29"/>
    </row>
    <row r="252" spans="1:3" ht="19.5" customHeight="1">
      <c r="A252" s="29"/>
      <c r="B252" s="29"/>
      <c r="C252" s="29"/>
    </row>
    <row r="253" spans="1:3" ht="19.5" customHeight="1">
      <c r="A253" s="29"/>
      <c r="B253" s="29"/>
      <c r="C253" s="29"/>
    </row>
    <row r="254" spans="1:3" ht="19.5" customHeight="1">
      <c r="A254" s="29"/>
      <c r="B254" s="29"/>
      <c r="C254" s="29"/>
    </row>
    <row r="255" spans="1:3" ht="19.5" customHeight="1">
      <c r="A255" s="29"/>
      <c r="B255" s="29"/>
      <c r="C255" s="29"/>
    </row>
    <row r="256" spans="1:3" ht="19.5" customHeight="1">
      <c r="A256" s="29"/>
      <c r="B256" s="29"/>
      <c r="C256" s="29"/>
    </row>
    <row r="257" spans="1:3" ht="19.5" customHeight="1">
      <c r="A257" s="29"/>
      <c r="B257" s="29"/>
      <c r="C257" s="29"/>
    </row>
    <row r="258" spans="1:3" ht="19.5" customHeight="1">
      <c r="A258" s="29"/>
      <c r="B258" s="29"/>
      <c r="C258" s="29"/>
    </row>
    <row r="259" spans="1:3" ht="19.5" customHeight="1">
      <c r="A259" s="29"/>
      <c r="B259" s="29"/>
      <c r="C259" s="29"/>
    </row>
    <row r="260" spans="1:3" ht="19.5" customHeight="1">
      <c r="A260" s="29"/>
      <c r="B260" s="29"/>
      <c r="C260" s="29"/>
    </row>
    <row r="261" spans="1:3" ht="19.5" customHeight="1">
      <c r="A261" s="29"/>
      <c r="B261" s="29"/>
      <c r="C261" s="29"/>
    </row>
    <row r="262" spans="1:3" ht="19.5" customHeight="1">
      <c r="A262" s="29"/>
      <c r="B262" s="29"/>
      <c r="C262" s="29"/>
    </row>
    <row r="263" spans="1:3" ht="19.5" customHeight="1">
      <c r="A263" s="29"/>
      <c r="B263" s="29"/>
      <c r="C263" s="29"/>
    </row>
    <row r="264" spans="1:3" ht="19.5" customHeight="1">
      <c r="A264" s="29"/>
      <c r="B264" s="29"/>
      <c r="C264" s="29"/>
    </row>
    <row r="265" spans="1:3" ht="19.5" customHeight="1">
      <c r="A265" s="29"/>
      <c r="B265" s="29"/>
      <c r="C265" s="29"/>
    </row>
    <row r="266" spans="1:3" ht="19.5" customHeight="1">
      <c r="A266" s="29"/>
      <c r="B266" s="29"/>
      <c r="C266" s="29"/>
    </row>
    <row r="267" spans="1:3" ht="19.5" customHeight="1">
      <c r="A267" s="29"/>
      <c r="B267" s="29"/>
      <c r="C267" s="29"/>
    </row>
    <row r="268" spans="1:3" ht="19.5" customHeight="1">
      <c r="A268" s="29"/>
      <c r="B268" s="29"/>
      <c r="C268" s="29"/>
    </row>
    <row r="269" spans="1:3" ht="19.5" customHeight="1">
      <c r="A269" s="29"/>
      <c r="B269" s="29"/>
      <c r="C269" s="29"/>
    </row>
    <row r="270" spans="1:3" ht="19.5" customHeight="1">
      <c r="A270" s="29"/>
      <c r="B270" s="29"/>
      <c r="C270" s="29"/>
    </row>
    <row r="271" spans="1:3" ht="19.5" customHeight="1">
      <c r="A271" s="29"/>
      <c r="B271" s="29"/>
      <c r="C271" s="29"/>
    </row>
    <row r="272" spans="1:3" ht="19.5" customHeight="1">
      <c r="A272" s="29"/>
      <c r="B272" s="29"/>
      <c r="C272" s="29"/>
    </row>
    <row r="273" spans="1:3" ht="19.5" customHeight="1">
      <c r="A273" s="29"/>
      <c r="B273" s="29"/>
      <c r="C273" s="29"/>
    </row>
    <row r="274" spans="1:3" ht="19.5" customHeight="1">
      <c r="A274" s="29"/>
      <c r="B274" s="29"/>
      <c r="C274" s="29"/>
    </row>
    <row r="275" spans="1:3" ht="19.5" customHeight="1">
      <c r="A275" s="29"/>
      <c r="B275" s="29"/>
      <c r="C275" s="29"/>
    </row>
    <row r="276" spans="1:3" ht="19.5" customHeight="1">
      <c r="A276" s="29"/>
      <c r="B276" s="29"/>
      <c r="C276" s="29"/>
    </row>
    <row r="277" spans="1:3" ht="19.5" customHeight="1">
      <c r="A277" s="29"/>
      <c r="B277" s="29"/>
      <c r="C277" s="29"/>
    </row>
    <row r="278" spans="1:3" ht="19.5" customHeight="1">
      <c r="A278" s="29"/>
      <c r="B278" s="29"/>
      <c r="C278" s="29"/>
    </row>
    <row r="279" spans="1:3" ht="19.5" customHeight="1">
      <c r="A279" s="29"/>
      <c r="B279" s="29"/>
      <c r="C279" s="29"/>
    </row>
    <row r="280" spans="1:3" ht="19.5" customHeight="1">
      <c r="A280" s="29"/>
      <c r="B280" s="29"/>
      <c r="C280" s="29"/>
    </row>
    <row r="281" spans="1:3" ht="19.5" customHeight="1">
      <c r="A281" s="29"/>
      <c r="B281" s="29"/>
      <c r="C281" s="29"/>
    </row>
    <row r="282" spans="1:3" ht="19.5" customHeight="1">
      <c r="A282" s="29"/>
      <c r="B282" s="29"/>
      <c r="C282" s="29"/>
    </row>
    <row r="283" spans="1:3" ht="19.5" customHeight="1">
      <c r="A283" s="29"/>
      <c r="B283" s="29"/>
      <c r="C283" s="29"/>
    </row>
    <row r="284" spans="1:3" ht="19.5" customHeight="1">
      <c r="A284" s="29"/>
      <c r="B284" s="29"/>
      <c r="C284" s="29"/>
    </row>
    <row r="285" spans="1:3" ht="19.5" customHeight="1">
      <c r="A285" s="29"/>
      <c r="B285" s="29"/>
      <c r="C285" s="29"/>
    </row>
    <row r="286" spans="1:3" ht="19.5" customHeight="1">
      <c r="A286" s="29"/>
      <c r="B286" s="29"/>
      <c r="C286" s="29"/>
    </row>
    <row r="287" spans="1:3" ht="19.5" customHeight="1">
      <c r="A287" s="29"/>
      <c r="B287" s="29"/>
      <c r="C287" s="29"/>
    </row>
    <row r="288" spans="1:3" ht="19.5" customHeight="1">
      <c r="A288" s="29"/>
      <c r="B288" s="29"/>
      <c r="C288" s="29"/>
    </row>
    <row r="289" spans="1:3" ht="19.5" customHeight="1">
      <c r="A289" s="29"/>
      <c r="B289" s="29"/>
      <c r="C289" s="29"/>
    </row>
    <row r="290" spans="1:3" ht="19.5" customHeight="1">
      <c r="A290" s="29"/>
      <c r="B290" s="29"/>
      <c r="C290" s="29"/>
    </row>
    <row r="291" spans="1:3" ht="19.5" customHeight="1">
      <c r="A291" s="29"/>
      <c r="B291" s="29"/>
      <c r="C291" s="29"/>
    </row>
    <row r="292" spans="1:3" ht="19.5" customHeight="1">
      <c r="A292" s="29"/>
      <c r="B292" s="29"/>
      <c r="C292" s="29"/>
    </row>
    <row r="293" spans="1:3" ht="19.5" customHeight="1">
      <c r="A293" s="29"/>
      <c r="B293" s="29"/>
      <c r="C293" s="29"/>
    </row>
    <row r="294" spans="1:3" ht="19.5" customHeight="1">
      <c r="A294" s="29"/>
      <c r="B294" s="29"/>
      <c r="C294" s="29"/>
    </row>
    <row r="295" spans="1:3" ht="19.5" customHeight="1">
      <c r="A295" s="29"/>
      <c r="B295" s="29"/>
      <c r="C295" s="29"/>
    </row>
    <row r="296" spans="1:3" ht="19.5" customHeight="1">
      <c r="A296" s="29"/>
      <c r="B296" s="29"/>
      <c r="C296" s="29"/>
    </row>
    <row r="297" spans="1:3" ht="19.5" customHeight="1">
      <c r="A297" s="29"/>
      <c r="B297" s="29"/>
      <c r="C297" s="29"/>
    </row>
    <row r="298" spans="1:3" ht="19.5" customHeight="1">
      <c r="A298" s="29"/>
      <c r="B298" s="29"/>
      <c r="C298" s="29"/>
    </row>
    <row r="299" spans="1:3" ht="19.5" customHeight="1">
      <c r="A299" s="29"/>
      <c r="B299" s="29"/>
      <c r="C299" s="29"/>
    </row>
    <row r="300" spans="1:3" ht="19.5" customHeight="1">
      <c r="A300" s="29"/>
      <c r="B300" s="29"/>
      <c r="C300" s="29"/>
    </row>
    <row r="301" spans="1:3" ht="19.5" customHeight="1">
      <c r="A301" s="29"/>
      <c r="B301" s="29"/>
      <c r="C301" s="29"/>
    </row>
    <row r="302" spans="1:3" ht="19.5" customHeight="1">
      <c r="A302" s="29"/>
      <c r="B302" s="29"/>
      <c r="C302" s="29"/>
    </row>
    <row r="303" spans="1:3" ht="19.5" customHeight="1">
      <c r="A303" s="29"/>
      <c r="B303" s="29"/>
      <c r="C303" s="29"/>
    </row>
    <row r="304" spans="1:3" ht="19.5" customHeight="1">
      <c r="A304" s="29"/>
      <c r="B304" s="29"/>
      <c r="C304" s="29"/>
    </row>
    <row r="305" spans="1:3" ht="19.5" customHeight="1">
      <c r="A305" s="29"/>
      <c r="B305" s="29"/>
      <c r="C305" s="29"/>
    </row>
    <row r="306" spans="1:3" ht="19.5" customHeight="1">
      <c r="A306" s="29"/>
      <c r="B306" s="29"/>
      <c r="C306" s="29"/>
    </row>
    <row r="307" spans="1:3" ht="19.5" customHeight="1">
      <c r="A307" s="29"/>
      <c r="B307" s="29"/>
      <c r="C307" s="29"/>
    </row>
    <row r="308" spans="1:3" ht="19.5" customHeight="1">
      <c r="A308" s="29"/>
      <c r="B308" s="29"/>
      <c r="C308" s="29"/>
    </row>
    <row r="309" spans="1:3" ht="19.5" customHeight="1">
      <c r="A309" s="29"/>
      <c r="B309" s="29"/>
      <c r="C309" s="29"/>
    </row>
    <row r="310" spans="1:3" ht="19.5" customHeight="1">
      <c r="A310" s="29"/>
      <c r="B310" s="29"/>
      <c r="C310" s="29"/>
    </row>
    <row r="311" spans="1:3" ht="19.5" customHeight="1">
      <c r="A311" s="29"/>
      <c r="B311" s="29"/>
      <c r="C311" s="29"/>
    </row>
    <row r="312" spans="1:3" ht="19.5" customHeight="1">
      <c r="A312" s="29"/>
      <c r="B312" s="29"/>
      <c r="C312" s="29"/>
    </row>
    <row r="313" spans="1:3" ht="19.5" customHeight="1">
      <c r="A313" s="29"/>
      <c r="B313" s="29"/>
      <c r="C313" s="29"/>
    </row>
    <row r="314" spans="1:3" ht="19.5" customHeight="1">
      <c r="A314" s="29"/>
      <c r="B314" s="29"/>
      <c r="C314" s="29"/>
    </row>
    <row r="315" spans="1:3" ht="19.5" customHeight="1">
      <c r="A315" s="29"/>
      <c r="B315" s="29"/>
      <c r="C315" s="29"/>
    </row>
    <row r="316" spans="1:3" ht="19.5" customHeight="1">
      <c r="A316" s="29"/>
      <c r="B316" s="29"/>
      <c r="C316" s="29"/>
    </row>
    <row r="317" spans="1:3" ht="19.5" customHeight="1">
      <c r="A317" s="29"/>
      <c r="B317" s="29"/>
      <c r="C317" s="29"/>
    </row>
    <row r="318" spans="1:3" ht="19.5" customHeight="1">
      <c r="A318" s="29"/>
      <c r="B318" s="29"/>
      <c r="C318" s="29"/>
    </row>
    <row r="319" spans="1:3" ht="19.5" customHeight="1">
      <c r="A319" s="29"/>
      <c r="B319" s="29"/>
      <c r="C319" s="29"/>
    </row>
    <row r="320" spans="1:3" ht="19.5" customHeight="1">
      <c r="A320" s="29"/>
      <c r="B320" s="29"/>
      <c r="C320" s="29"/>
    </row>
    <row r="321" spans="1:3" ht="19.5" customHeight="1">
      <c r="A321" s="29"/>
      <c r="B321" s="29"/>
      <c r="C321" s="29"/>
    </row>
    <row r="322" spans="1:3" ht="19.5" customHeight="1">
      <c r="A322" s="29"/>
      <c r="B322" s="29"/>
      <c r="C322" s="29"/>
    </row>
    <row r="323" spans="1:3" ht="19.5" customHeight="1">
      <c r="A323" s="29"/>
      <c r="B323" s="29"/>
      <c r="C323" s="29"/>
    </row>
    <row r="324" spans="1:3" ht="19.5" customHeight="1">
      <c r="A324" s="29"/>
      <c r="B324" s="29"/>
      <c r="C324" s="29"/>
    </row>
    <row r="325" spans="1:3" ht="19.5" customHeight="1">
      <c r="A325" s="29"/>
      <c r="B325" s="29"/>
      <c r="C325" s="29"/>
    </row>
    <row r="326" spans="1:3" ht="19.5" customHeight="1">
      <c r="A326" s="29"/>
      <c r="B326" s="29"/>
      <c r="C326" s="29"/>
    </row>
    <row r="327" spans="1:3" ht="19.5" customHeight="1">
      <c r="A327" s="29"/>
      <c r="B327" s="29"/>
      <c r="C327" s="29"/>
    </row>
    <row r="328" spans="1:3" ht="19.5" customHeight="1">
      <c r="A328" s="29"/>
      <c r="B328" s="29"/>
      <c r="C328" s="29"/>
    </row>
  </sheetData>
  <sheetProtection/>
  <mergeCells count="13">
    <mergeCell ref="E3:E4"/>
    <mergeCell ref="F3:J3"/>
    <mergeCell ref="L3:N3"/>
    <mergeCell ref="K3:K4"/>
    <mergeCell ref="O3:O4"/>
    <mergeCell ref="A5:B5"/>
    <mergeCell ref="D3:D4"/>
    <mergeCell ref="B6:B7"/>
    <mergeCell ref="A8:A10"/>
    <mergeCell ref="B8:B9"/>
    <mergeCell ref="A3:B4"/>
    <mergeCell ref="C3:C4"/>
    <mergeCell ref="A6:A7"/>
  </mergeCells>
  <printOptions/>
  <pageMargins left="0.7086614173228347" right="0.1968503937007874" top="0.6692913385826772" bottom="0.1968503937007874" header="0.7874015748031497" footer="0.3937007874015748"/>
  <pageSetup firstPageNumber="31" useFirstPageNumber="1" horizontalDpi="600" verticalDpi="600" orientation="portrait" paperSize="9" r:id="rId1"/>
  <headerFooter scaleWithDoc="0" alignWithMargins="0">
    <oddFooter>&amp;C&amp;12&amp;P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="120" zoomScaleNormal="120" zoomScaleSheetLayoutView="120" zoomScalePageLayoutView="0" workbookViewId="0" topLeftCell="A1">
      <pane ySplit="4" topLeftCell="A5" activePane="bottomLeft" state="frozen"/>
      <selection pane="topLeft" activeCell="N6" sqref="N6"/>
      <selection pane="bottomLeft" activeCell="N6" sqref="N6"/>
    </sheetView>
  </sheetViews>
  <sheetFormatPr defaultColWidth="9.00390625" defaultRowHeight="12.75" customHeight="1"/>
  <cols>
    <col min="1" max="1" width="3.625" style="32" customWidth="1"/>
    <col min="2" max="2" width="3.125" style="32" customWidth="1"/>
    <col min="3" max="3" width="10.75390625" style="32" customWidth="1"/>
    <col min="4" max="7" width="8.625" style="136" customWidth="1"/>
    <col min="8" max="8" width="13.00390625" style="137" customWidth="1"/>
    <col min="9" max="9" width="12.125" style="137" customWidth="1"/>
    <col min="10" max="10" width="0.875" style="31" customWidth="1"/>
    <col min="11" max="11" width="0" style="31" hidden="1" customWidth="1"/>
    <col min="12" max="12" width="2.625" style="31" customWidth="1"/>
    <col min="13" max="13" width="7.00390625" style="130" customWidth="1"/>
    <col min="14" max="14" width="27.25390625" style="130" customWidth="1"/>
    <col min="15" max="16384" width="9.00390625" style="31" customWidth="1"/>
  </cols>
  <sheetData>
    <row r="1" spans="1:10" ht="21" customHeight="1">
      <c r="A1" s="333" t="s">
        <v>332</v>
      </c>
      <c r="B1" s="334"/>
      <c r="C1" s="334"/>
      <c r="D1" s="335"/>
      <c r="E1" s="335"/>
      <c r="F1" s="335" t="s">
        <v>623</v>
      </c>
      <c r="G1" s="335"/>
      <c r="H1" s="336" t="s">
        <v>17</v>
      </c>
      <c r="I1" s="337"/>
      <c r="J1" s="129"/>
    </row>
    <row r="2" spans="1:10" ht="21" customHeight="1" thickBot="1">
      <c r="A2" s="338" t="s">
        <v>333</v>
      </c>
      <c r="B2" s="339"/>
      <c r="C2" s="339"/>
      <c r="D2" s="340"/>
      <c r="E2" s="340"/>
      <c r="F2" s="340"/>
      <c r="G2" s="341"/>
      <c r="H2" s="342"/>
      <c r="I2" s="343"/>
      <c r="J2" s="129"/>
    </row>
    <row r="3" spans="1:10" ht="21" customHeight="1">
      <c r="A3" s="2015" t="s">
        <v>334</v>
      </c>
      <c r="B3" s="2039"/>
      <c r="C3" s="2040"/>
      <c r="D3" s="344" t="s">
        <v>335</v>
      </c>
      <c r="E3" s="345"/>
      <c r="F3" s="346" t="s">
        <v>336</v>
      </c>
      <c r="G3" s="347" t="s">
        <v>767</v>
      </c>
      <c r="H3" s="348" t="s">
        <v>953</v>
      </c>
      <c r="I3" s="349" t="s">
        <v>337</v>
      </c>
      <c r="J3" s="131"/>
    </row>
    <row r="4" spans="1:10" ht="21" customHeight="1" thickBot="1">
      <c r="A4" s="2041"/>
      <c r="B4" s="2042"/>
      <c r="C4" s="2043"/>
      <c r="D4" s="350" t="s">
        <v>338</v>
      </c>
      <c r="E4" s="351" t="s">
        <v>192</v>
      </c>
      <c r="F4" s="351" t="s">
        <v>193</v>
      </c>
      <c r="G4" s="351" t="s">
        <v>96</v>
      </c>
      <c r="H4" s="352" t="s">
        <v>952</v>
      </c>
      <c r="I4" s="353" t="s">
        <v>340</v>
      </c>
      <c r="J4" s="131"/>
    </row>
    <row r="5" spans="1:14" s="133" customFormat="1" ht="24.75" customHeight="1" thickBot="1">
      <c r="A5" s="2044" t="s">
        <v>341</v>
      </c>
      <c r="B5" s="2045"/>
      <c r="C5" s="2046"/>
      <c r="D5" s="354">
        <f>D11+D18+D28</f>
        <v>33</v>
      </c>
      <c r="E5" s="354">
        <f>E11+E18+E28</f>
        <v>391</v>
      </c>
      <c r="F5" s="354">
        <f>F11+F18+F28</f>
        <v>92</v>
      </c>
      <c r="G5" s="354">
        <f>G11+G18+G28</f>
        <v>483</v>
      </c>
      <c r="H5" s="355" t="s">
        <v>621</v>
      </c>
      <c r="I5" s="356">
        <f>I11+I18+I28</f>
        <v>2314000</v>
      </c>
      <c r="J5" s="132"/>
      <c r="M5" s="2047"/>
      <c r="N5" s="2047"/>
    </row>
    <row r="6" spans="1:14" ht="24.75" customHeight="1">
      <c r="A6" s="2048" t="s">
        <v>10</v>
      </c>
      <c r="B6" s="1386" t="s">
        <v>260</v>
      </c>
      <c r="C6" s="2051"/>
      <c r="D6" s="628" t="s">
        <v>951</v>
      </c>
      <c r="E6" s="559"/>
      <c r="F6" s="559"/>
      <c r="G6" s="559"/>
      <c r="H6" s="560"/>
      <c r="I6" s="561"/>
      <c r="J6" s="10"/>
      <c r="M6" s="134"/>
      <c r="N6" s="135"/>
    </row>
    <row r="7" spans="1:14" ht="24.75" customHeight="1">
      <c r="A7" s="2049"/>
      <c r="B7" s="1371" t="s">
        <v>97</v>
      </c>
      <c r="C7" s="2052"/>
      <c r="D7" s="628" t="s">
        <v>867</v>
      </c>
      <c r="E7" s="559"/>
      <c r="F7" s="559"/>
      <c r="G7" s="559"/>
      <c r="H7" s="560"/>
      <c r="I7" s="561"/>
      <c r="J7" s="10"/>
      <c r="M7" s="134"/>
      <c r="N7" s="135"/>
    </row>
    <row r="8" spans="1:14" ht="24.75" customHeight="1">
      <c r="A8" s="2049"/>
      <c r="B8" s="1923" t="s">
        <v>39</v>
      </c>
      <c r="C8" s="2053"/>
      <c r="D8" s="558">
        <v>2</v>
      </c>
      <c r="E8" s="559">
        <v>30</v>
      </c>
      <c r="F8" s="559"/>
      <c r="G8" s="559">
        <f>E8+F8</f>
        <v>30</v>
      </c>
      <c r="H8" s="560">
        <v>2000</v>
      </c>
      <c r="I8" s="629">
        <v>0</v>
      </c>
      <c r="J8" s="10"/>
      <c r="M8" s="134"/>
      <c r="N8" s="135"/>
    </row>
    <row r="9" spans="1:14" ht="24.75" customHeight="1">
      <c r="A9" s="2049"/>
      <c r="B9" s="1371" t="s">
        <v>21</v>
      </c>
      <c r="C9" s="1351"/>
      <c r="D9" s="558">
        <v>2</v>
      </c>
      <c r="E9" s="559">
        <v>35</v>
      </c>
      <c r="F9" s="559"/>
      <c r="G9" s="559">
        <f>E9+F9</f>
        <v>35</v>
      </c>
      <c r="H9" s="560">
        <v>0</v>
      </c>
      <c r="I9" s="561">
        <v>0</v>
      </c>
      <c r="J9" s="10"/>
      <c r="M9" s="134"/>
      <c r="N9" s="135"/>
    </row>
    <row r="10" spans="1:14" ht="24.75" customHeight="1" thickBot="1">
      <c r="A10" s="2049"/>
      <c r="B10" s="2054" t="s">
        <v>40</v>
      </c>
      <c r="C10" s="2055"/>
      <c r="D10" s="1013">
        <v>2</v>
      </c>
      <c r="E10" s="1014">
        <v>24</v>
      </c>
      <c r="F10" s="1014">
        <v>6</v>
      </c>
      <c r="G10" s="1015">
        <f>E10+F10</f>
        <v>30</v>
      </c>
      <c r="H10" s="1016" t="s">
        <v>792</v>
      </c>
      <c r="I10" s="1017">
        <v>64000</v>
      </c>
      <c r="J10" s="4"/>
      <c r="M10" s="134"/>
      <c r="N10" s="135"/>
    </row>
    <row r="11" spans="1:14" ht="24.75" customHeight="1" thickBot="1" thickTop="1">
      <c r="A11" s="2050"/>
      <c r="B11" s="1862" t="s">
        <v>20</v>
      </c>
      <c r="C11" s="1863"/>
      <c r="D11" s="354">
        <f>SUM(D6:D10)</f>
        <v>6</v>
      </c>
      <c r="E11" s="354">
        <f>SUM(E6:E10)</f>
        <v>89</v>
      </c>
      <c r="F11" s="354">
        <f>SUM(F6:F10)</f>
        <v>6</v>
      </c>
      <c r="G11" s="354">
        <f>SUM(G6:G10)</f>
        <v>95</v>
      </c>
      <c r="H11" s="355" t="s">
        <v>954</v>
      </c>
      <c r="I11" s="356">
        <f>SUM(I6:I10)</f>
        <v>64000</v>
      </c>
      <c r="J11" s="4"/>
      <c r="M11" s="134"/>
      <c r="N11" s="135"/>
    </row>
    <row r="12" spans="1:14" ht="24.75" customHeight="1">
      <c r="A12" s="1920" t="s">
        <v>293</v>
      </c>
      <c r="B12" s="1292" t="s">
        <v>22</v>
      </c>
      <c r="C12" s="2038"/>
      <c r="D12" s="628" t="s">
        <v>867</v>
      </c>
      <c r="E12" s="559"/>
      <c r="F12" s="559"/>
      <c r="G12" s="559"/>
      <c r="H12" s="560"/>
      <c r="I12" s="561"/>
      <c r="J12" s="131"/>
      <c r="M12" s="134"/>
      <c r="N12" s="135"/>
    </row>
    <row r="13" spans="1:14" ht="24.75" customHeight="1">
      <c r="A13" s="1921"/>
      <c r="B13" s="1287" t="s">
        <v>718</v>
      </c>
      <c r="C13" s="1350"/>
      <c r="D13" s="887" t="s">
        <v>867</v>
      </c>
      <c r="E13" s="438"/>
      <c r="F13" s="438"/>
      <c r="G13" s="559"/>
      <c r="H13" s="560"/>
      <c r="I13" s="440"/>
      <c r="J13" s="10"/>
      <c r="M13" s="134"/>
      <c r="N13" s="135"/>
    </row>
    <row r="14" spans="1:14" ht="24.75" customHeight="1">
      <c r="A14" s="1921"/>
      <c r="B14" s="1287" t="s">
        <v>105</v>
      </c>
      <c r="C14" s="1371"/>
      <c r="D14" s="887" t="s">
        <v>867</v>
      </c>
      <c r="E14" s="438"/>
      <c r="F14" s="438"/>
      <c r="G14" s="555"/>
      <c r="H14" s="560"/>
      <c r="I14" s="440"/>
      <c r="J14" s="10"/>
      <c r="M14" s="134"/>
      <c r="N14" s="135"/>
    </row>
    <row r="15" spans="1:14" ht="24.75" customHeight="1">
      <c r="A15" s="1921"/>
      <c r="B15" s="1287" t="s">
        <v>279</v>
      </c>
      <c r="C15" s="1371"/>
      <c r="D15" s="471">
        <v>1</v>
      </c>
      <c r="E15" s="439">
        <v>46</v>
      </c>
      <c r="F15" s="439">
        <v>8</v>
      </c>
      <c r="G15" s="558">
        <f>E15+F15</f>
        <v>54</v>
      </c>
      <c r="H15" s="560">
        <v>0</v>
      </c>
      <c r="I15" s="440">
        <v>100000</v>
      </c>
      <c r="J15" s="10"/>
      <c r="M15" s="134"/>
      <c r="N15" s="135"/>
    </row>
    <row r="16" spans="1:14" ht="24.75" customHeight="1">
      <c r="A16" s="1921"/>
      <c r="B16" s="1287" t="s">
        <v>51</v>
      </c>
      <c r="C16" s="1371"/>
      <c r="D16" s="887" t="s">
        <v>867</v>
      </c>
      <c r="E16" s="650"/>
      <c r="F16" s="650"/>
      <c r="G16" s="555"/>
      <c r="H16" s="560"/>
      <c r="I16" s="561"/>
      <c r="J16" s="10"/>
      <c r="M16" s="134"/>
      <c r="N16" s="135"/>
    </row>
    <row r="17" spans="1:14" ht="24.75" customHeight="1" thickBot="1">
      <c r="A17" s="1921"/>
      <c r="B17" s="1288" t="s">
        <v>52</v>
      </c>
      <c r="C17" s="1389"/>
      <c r="D17" s="1018" t="s">
        <v>867</v>
      </c>
      <c r="E17" s="1015"/>
      <c r="F17" s="1015"/>
      <c r="G17" s="1019"/>
      <c r="H17" s="1016"/>
      <c r="I17" s="1020"/>
      <c r="J17" s="10"/>
      <c r="M17" s="134"/>
      <c r="N17" s="135"/>
    </row>
    <row r="18" spans="1:14" ht="24.75" customHeight="1" thickBot="1" thickTop="1">
      <c r="A18" s="1922"/>
      <c r="B18" s="1862" t="s">
        <v>20</v>
      </c>
      <c r="C18" s="1863"/>
      <c r="D18" s="354">
        <f aca="true" t="shared" si="0" ref="D18:I18">SUM(D12:D17)</f>
        <v>1</v>
      </c>
      <c r="E18" s="357">
        <f t="shared" si="0"/>
        <v>46</v>
      </c>
      <c r="F18" s="357">
        <f t="shared" si="0"/>
        <v>8</v>
      </c>
      <c r="G18" s="357">
        <f t="shared" si="0"/>
        <v>54</v>
      </c>
      <c r="H18" s="355">
        <f t="shared" si="0"/>
        <v>0</v>
      </c>
      <c r="I18" s="356">
        <f t="shared" si="0"/>
        <v>100000</v>
      </c>
      <c r="J18" s="47">
        <f>SUM(J14:J17)</f>
        <v>0</v>
      </c>
      <c r="M18" s="134"/>
      <c r="N18" s="135"/>
    </row>
    <row r="19" spans="1:14" ht="24.75" customHeight="1">
      <c r="A19" s="2033" t="s">
        <v>295</v>
      </c>
      <c r="B19" s="1369" t="s">
        <v>25</v>
      </c>
      <c r="C19" s="2036"/>
      <c r="D19" s="619">
        <v>3</v>
      </c>
      <c r="E19" s="622">
        <f>19+13+37</f>
        <v>69</v>
      </c>
      <c r="F19" s="622">
        <f>1+20</f>
        <v>21</v>
      </c>
      <c r="G19" s="622">
        <f>E19+F19</f>
        <v>90</v>
      </c>
      <c r="H19" s="623" t="s">
        <v>821</v>
      </c>
      <c r="I19" s="624">
        <v>1000000</v>
      </c>
      <c r="J19" s="10"/>
      <c r="M19" s="134"/>
      <c r="N19" s="135"/>
    </row>
    <row r="20" spans="1:14" ht="24.75" customHeight="1">
      <c r="A20" s="2034"/>
      <c r="B20" s="1371" t="s">
        <v>26</v>
      </c>
      <c r="C20" s="2037"/>
      <c r="D20" s="558">
        <v>8</v>
      </c>
      <c r="E20" s="559">
        <v>41</v>
      </c>
      <c r="F20" s="559">
        <v>13</v>
      </c>
      <c r="G20" s="559">
        <f>E20+F20</f>
        <v>54</v>
      </c>
      <c r="H20" s="560">
        <v>0</v>
      </c>
      <c r="I20" s="629">
        <v>0</v>
      </c>
      <c r="J20" s="10"/>
      <c r="M20" s="134"/>
      <c r="N20" s="135"/>
    </row>
    <row r="21" spans="1:22" ht="24.75" customHeight="1">
      <c r="A21" s="2034"/>
      <c r="B21" s="1371" t="s">
        <v>43</v>
      </c>
      <c r="C21" s="2037"/>
      <c r="D21" s="555">
        <v>11</v>
      </c>
      <c r="E21" s="559">
        <f>82+5</f>
        <v>87</v>
      </c>
      <c r="F21" s="559">
        <f>14+3</f>
        <v>17</v>
      </c>
      <c r="G21" s="559">
        <f>E21+F21</f>
        <v>104</v>
      </c>
      <c r="H21" s="560" t="s">
        <v>621</v>
      </c>
      <c r="I21" s="549">
        <v>900000</v>
      </c>
      <c r="J21" s="10"/>
      <c r="M21" s="134"/>
      <c r="N21" s="135"/>
      <c r="V21" s="31">
        <v>100</v>
      </c>
    </row>
    <row r="22" spans="1:14" ht="24.75" customHeight="1">
      <c r="A22" s="2034"/>
      <c r="B22" s="1287" t="s">
        <v>342</v>
      </c>
      <c r="C22" s="1371"/>
      <c r="D22" s="558">
        <v>1</v>
      </c>
      <c r="E22" s="559">
        <v>23</v>
      </c>
      <c r="F22" s="559">
        <v>10</v>
      </c>
      <c r="G22" s="559">
        <f>E22+F22</f>
        <v>33</v>
      </c>
      <c r="H22" s="560">
        <v>1000</v>
      </c>
      <c r="I22" s="561">
        <v>120000</v>
      </c>
      <c r="J22" s="10"/>
      <c r="M22" s="134"/>
      <c r="N22" s="135"/>
    </row>
    <row r="23" spans="1:14" ht="24.75" customHeight="1">
      <c r="A23" s="2034"/>
      <c r="B23" s="1636" t="s">
        <v>343</v>
      </c>
      <c r="C23" s="1923"/>
      <c r="D23" s="556" t="s">
        <v>796</v>
      </c>
      <c r="E23" s="639"/>
      <c r="F23" s="639"/>
      <c r="G23" s="639"/>
      <c r="H23" s="640"/>
      <c r="I23" s="641"/>
      <c r="J23" s="10"/>
      <c r="M23" s="134"/>
      <c r="N23" s="135"/>
    </row>
    <row r="24" spans="1:16" ht="24.75" customHeight="1">
      <c r="A24" s="2034"/>
      <c r="B24" s="1287" t="s">
        <v>27</v>
      </c>
      <c r="C24" s="1350"/>
      <c r="D24" s="556" t="s">
        <v>867</v>
      </c>
      <c r="E24" s="650"/>
      <c r="F24" s="650"/>
      <c r="G24" s="650"/>
      <c r="H24" s="655"/>
      <c r="I24" s="647"/>
      <c r="J24" s="10"/>
      <c r="M24" s="134"/>
      <c r="N24" s="135"/>
      <c r="O24" s="207"/>
      <c r="P24" s="207"/>
    </row>
    <row r="25" spans="1:16" ht="24.75" customHeight="1">
      <c r="A25" s="2034"/>
      <c r="B25" s="1287" t="s">
        <v>296</v>
      </c>
      <c r="C25" s="1371"/>
      <c r="D25" s="556" t="s">
        <v>867</v>
      </c>
      <c r="E25" s="559"/>
      <c r="F25" s="559"/>
      <c r="G25" s="559"/>
      <c r="H25" s="559"/>
      <c r="I25" s="561"/>
      <c r="J25" s="10"/>
      <c r="M25" s="134"/>
      <c r="N25" s="2032"/>
      <c r="O25" s="207"/>
      <c r="P25" s="207"/>
    </row>
    <row r="26" spans="1:14" ht="24.75" customHeight="1">
      <c r="A26" s="2034"/>
      <c r="B26" s="1287" t="s">
        <v>266</v>
      </c>
      <c r="C26" s="1371"/>
      <c r="D26" s="558">
        <v>2</v>
      </c>
      <c r="E26" s="559">
        <v>27</v>
      </c>
      <c r="F26" s="559">
        <v>17</v>
      </c>
      <c r="G26" s="559">
        <f>E26+F26</f>
        <v>44</v>
      </c>
      <c r="H26" s="560" t="s">
        <v>622</v>
      </c>
      <c r="I26" s="561">
        <v>130000</v>
      </c>
      <c r="J26" s="10"/>
      <c r="M26" s="134"/>
      <c r="N26" s="2032"/>
    </row>
    <row r="27" spans="1:14" ht="24.75" customHeight="1" thickBot="1">
      <c r="A27" s="2034"/>
      <c r="B27" s="1288" t="s">
        <v>120</v>
      </c>
      <c r="C27" s="1389"/>
      <c r="D27" s="1019">
        <v>1</v>
      </c>
      <c r="E27" s="1019">
        <v>9</v>
      </c>
      <c r="F27" s="1019"/>
      <c r="G27" s="1015">
        <f>E27+F27</f>
        <v>9</v>
      </c>
      <c r="H27" s="1016">
        <v>0</v>
      </c>
      <c r="I27" s="1021">
        <v>0</v>
      </c>
      <c r="J27" s="10"/>
      <c r="M27" s="134"/>
      <c r="N27" s="135"/>
    </row>
    <row r="28" spans="1:14" ht="24.75" customHeight="1" thickBot="1" thickTop="1">
      <c r="A28" s="2035"/>
      <c r="B28" s="1391" t="s">
        <v>20</v>
      </c>
      <c r="C28" s="1392"/>
      <c r="D28" s="520">
        <f>SUM(D19:D27)</f>
        <v>26</v>
      </c>
      <c r="E28" s="520">
        <f>SUM(E19:E27)</f>
        <v>256</v>
      </c>
      <c r="F28" s="520">
        <f>SUM(F19:F27)</f>
        <v>78</v>
      </c>
      <c r="G28" s="520">
        <f>SUM(G19:G27)</f>
        <v>334</v>
      </c>
      <c r="H28" s="521" t="s">
        <v>621</v>
      </c>
      <c r="I28" s="522">
        <f>SUM(I19:I27)</f>
        <v>2150000</v>
      </c>
      <c r="J28" s="10"/>
      <c r="M28" s="134"/>
      <c r="N28" s="135"/>
    </row>
    <row r="29" spans="1:14" ht="18" customHeight="1">
      <c r="A29" s="30"/>
      <c r="B29" s="30"/>
      <c r="C29" s="30"/>
      <c r="D29" s="30"/>
      <c r="E29" s="30"/>
      <c r="F29" s="30"/>
      <c r="G29" s="30"/>
      <c r="H29" s="30"/>
      <c r="I29" s="30"/>
      <c r="J29" s="129"/>
      <c r="M29" s="134"/>
      <c r="N29" s="135"/>
    </row>
    <row r="30" spans="4:9" ht="12.75" customHeight="1">
      <c r="D30" s="32"/>
      <c r="E30" s="32"/>
      <c r="F30" s="32"/>
      <c r="G30" s="32"/>
      <c r="H30" s="32"/>
      <c r="I30" s="32"/>
    </row>
  </sheetData>
  <sheetProtection/>
  <mergeCells count="30">
    <mergeCell ref="A3:C4"/>
    <mergeCell ref="A5:C5"/>
    <mergeCell ref="M5:N5"/>
    <mergeCell ref="A6:A11"/>
    <mergeCell ref="B6:C6"/>
    <mergeCell ref="B7:C7"/>
    <mergeCell ref="B8:C8"/>
    <mergeCell ref="B9:C9"/>
    <mergeCell ref="B10:C10"/>
    <mergeCell ref="B11:C11"/>
    <mergeCell ref="B24:C24"/>
    <mergeCell ref="B25:C25"/>
    <mergeCell ref="A12:A18"/>
    <mergeCell ref="B12:C12"/>
    <mergeCell ref="B13:C13"/>
    <mergeCell ref="B14:C14"/>
    <mergeCell ref="B15:C15"/>
    <mergeCell ref="B16:C16"/>
    <mergeCell ref="B17:C17"/>
    <mergeCell ref="B18:C18"/>
    <mergeCell ref="N25:N26"/>
    <mergeCell ref="B26:C26"/>
    <mergeCell ref="B27:C27"/>
    <mergeCell ref="B28:C28"/>
    <mergeCell ref="A19:A28"/>
    <mergeCell ref="B19:C19"/>
    <mergeCell ref="B20:C20"/>
    <mergeCell ref="B21:C21"/>
    <mergeCell ref="B22:C22"/>
    <mergeCell ref="B23:C23"/>
  </mergeCells>
  <printOptions/>
  <pageMargins left="0.7086614173228347" right="0.1968503937007874" top="0.6692913385826772" bottom="0.1968503937007874" header="0.7874015748031497" footer="0.3937007874015748"/>
  <pageSetup firstPageNumber="32" useFirstPageNumber="1" horizontalDpi="600" verticalDpi="600" orientation="portrait" paperSize="9" scale="115" r:id="rId1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view="pageBreakPreview" zoomScaleSheetLayoutView="100" workbookViewId="0" topLeftCell="A1">
      <selection activeCell="N6" sqref="N6"/>
    </sheetView>
  </sheetViews>
  <sheetFormatPr defaultColWidth="9.00390625" defaultRowHeight="13.5"/>
  <cols>
    <col min="1" max="1" width="2.125" style="0" customWidth="1"/>
    <col min="2" max="2" width="9.125" style="0" customWidth="1"/>
    <col min="9" max="9" width="6.25390625" style="0" customWidth="1"/>
    <col min="10" max="10" width="7.25390625" style="0" customWidth="1"/>
    <col min="11" max="11" width="12.75390625" style="0" customWidth="1"/>
  </cols>
  <sheetData>
    <row r="1" spans="2:11" s="41" customFormat="1" ht="30" customHeight="1">
      <c r="B1" s="1282" t="s">
        <v>524</v>
      </c>
      <c r="C1" s="1283"/>
      <c r="D1" s="1283"/>
      <c r="E1" s="1283"/>
      <c r="F1" s="1283"/>
      <c r="G1" s="1283"/>
      <c r="H1" s="1283"/>
      <c r="I1" s="1283"/>
      <c r="J1" s="1283"/>
      <c r="K1" s="1283"/>
    </row>
    <row r="2" spans="2:11" s="41" customFormat="1" ht="12.75" customHeight="1">
      <c r="B2" s="156"/>
      <c r="C2" s="157"/>
      <c r="D2" s="157"/>
      <c r="E2" s="157"/>
      <c r="F2" s="157"/>
      <c r="G2" s="157"/>
      <c r="H2" s="157"/>
      <c r="I2" s="157"/>
      <c r="J2" s="157"/>
      <c r="K2" s="157"/>
    </row>
    <row r="3" spans="2:11" s="41" customFormat="1" ht="33.75" customHeight="1">
      <c r="B3" s="1284" t="s">
        <v>879</v>
      </c>
      <c r="C3" s="1285"/>
      <c r="D3" s="1285"/>
      <c r="E3" s="1285"/>
      <c r="F3" s="1285"/>
      <c r="G3" s="1285"/>
      <c r="H3" s="1285"/>
      <c r="I3" s="1285"/>
      <c r="J3" s="1285"/>
      <c r="K3" s="1285"/>
    </row>
    <row r="4" spans="2:11" s="41" customFormat="1" ht="34.5" customHeight="1">
      <c r="B4" s="158" t="s">
        <v>525</v>
      </c>
      <c r="C4" s="159"/>
      <c r="D4" s="159"/>
      <c r="E4" s="159"/>
      <c r="F4" s="159"/>
      <c r="G4" s="159"/>
      <c r="H4" s="159"/>
      <c r="I4" s="159"/>
      <c r="J4" s="160"/>
      <c r="K4" s="161">
        <v>2</v>
      </c>
    </row>
    <row r="5" spans="2:11" s="41" customFormat="1" ht="34.5" customHeight="1">
      <c r="B5" s="158" t="s">
        <v>526</v>
      </c>
      <c r="C5" s="158"/>
      <c r="D5" s="158"/>
      <c r="E5" s="158"/>
      <c r="F5" s="158"/>
      <c r="G5" s="158"/>
      <c r="H5" s="158"/>
      <c r="I5" s="158"/>
      <c r="J5" s="158"/>
      <c r="K5" s="161">
        <v>5</v>
      </c>
    </row>
    <row r="6" spans="2:11" s="41" customFormat="1" ht="34.5" customHeight="1">
      <c r="B6" s="158" t="s">
        <v>527</v>
      </c>
      <c r="C6" s="158"/>
      <c r="D6" s="158"/>
      <c r="E6" s="158"/>
      <c r="F6" s="158"/>
      <c r="G6" s="158"/>
      <c r="H6" s="158"/>
      <c r="I6" s="158"/>
      <c r="J6" s="158"/>
      <c r="K6" s="161">
        <v>6</v>
      </c>
    </row>
    <row r="7" spans="2:11" s="41" customFormat="1" ht="34.5" customHeight="1">
      <c r="B7" s="158" t="s">
        <v>528</v>
      </c>
      <c r="C7" s="158"/>
      <c r="D7" s="158"/>
      <c r="E7" s="158"/>
      <c r="F7" s="158"/>
      <c r="G7" s="158"/>
      <c r="H7" s="158"/>
      <c r="I7" s="158"/>
      <c r="J7" s="158"/>
      <c r="K7" s="161">
        <v>8</v>
      </c>
    </row>
    <row r="8" spans="2:11" s="41" customFormat="1" ht="34.5" customHeight="1">
      <c r="B8" s="158" t="s">
        <v>529</v>
      </c>
      <c r="C8" s="158"/>
      <c r="D8" s="158"/>
      <c r="E8" s="158"/>
      <c r="F8" s="158"/>
      <c r="G8" s="158"/>
      <c r="H8" s="158"/>
      <c r="I8" s="158"/>
      <c r="J8" s="158"/>
      <c r="K8" s="161">
        <v>12</v>
      </c>
    </row>
    <row r="9" spans="2:11" s="41" customFormat="1" ht="34.5" customHeight="1">
      <c r="B9" s="158" t="s">
        <v>530</v>
      </c>
      <c r="C9" s="158"/>
      <c r="D9" s="158"/>
      <c r="E9" s="158"/>
      <c r="F9" s="158"/>
      <c r="G9" s="158"/>
      <c r="H9" s="158"/>
      <c r="I9" s="158"/>
      <c r="J9" s="158"/>
      <c r="K9" s="161">
        <v>14</v>
      </c>
    </row>
    <row r="10" spans="2:11" s="41" customFormat="1" ht="34.5" customHeight="1">
      <c r="B10" s="158" t="s">
        <v>531</v>
      </c>
      <c r="C10" s="158"/>
      <c r="D10" s="158"/>
      <c r="E10" s="158"/>
      <c r="F10" s="158"/>
      <c r="G10" s="158"/>
      <c r="H10" s="158"/>
      <c r="I10" s="158"/>
      <c r="J10" s="158"/>
      <c r="K10" s="161">
        <v>16</v>
      </c>
    </row>
    <row r="11" spans="2:11" s="41" customFormat="1" ht="34.5" customHeight="1">
      <c r="B11" s="158" t="s">
        <v>532</v>
      </c>
      <c r="C11" s="158"/>
      <c r="D11" s="158"/>
      <c r="E11" s="158"/>
      <c r="F11" s="158"/>
      <c r="G11" s="158"/>
      <c r="H11" s="158"/>
      <c r="I11" s="158"/>
      <c r="J11" s="158"/>
      <c r="K11" s="161">
        <v>18</v>
      </c>
    </row>
    <row r="12" spans="2:11" s="41" customFormat="1" ht="34.5" customHeight="1">
      <c r="B12" s="158" t="s">
        <v>533</v>
      </c>
      <c r="C12" s="158"/>
      <c r="D12" s="158"/>
      <c r="E12" s="158"/>
      <c r="F12" s="158"/>
      <c r="G12" s="158"/>
      <c r="H12" s="158"/>
      <c r="I12" s="158"/>
      <c r="J12" s="158"/>
      <c r="K12" s="161">
        <v>20</v>
      </c>
    </row>
    <row r="13" spans="2:11" s="41" customFormat="1" ht="34.5" customHeight="1">
      <c r="B13" s="158" t="s">
        <v>852</v>
      </c>
      <c r="C13" s="158"/>
      <c r="D13" s="158"/>
      <c r="E13" s="158"/>
      <c r="F13" s="158"/>
      <c r="G13" s="158"/>
      <c r="H13" s="158"/>
      <c r="I13" s="158"/>
      <c r="J13" s="158"/>
      <c r="K13" s="161">
        <v>21</v>
      </c>
    </row>
    <row r="14" spans="1:11" s="41" customFormat="1" ht="34.5" customHeight="1">
      <c r="A14" s="247"/>
      <c r="B14" s="248" t="s">
        <v>853</v>
      </c>
      <c r="C14" s="248"/>
      <c r="D14" s="248"/>
      <c r="E14" s="248"/>
      <c r="F14" s="248"/>
      <c r="G14" s="248"/>
      <c r="H14" s="248"/>
      <c r="I14" s="248"/>
      <c r="J14" s="158"/>
      <c r="K14" s="161">
        <v>23</v>
      </c>
    </row>
    <row r="15" spans="2:11" s="41" customFormat="1" ht="34.5" customHeight="1">
      <c r="B15" s="158" t="s">
        <v>854</v>
      </c>
      <c r="C15" s="158"/>
      <c r="D15" s="158"/>
      <c r="E15" s="158"/>
      <c r="F15" s="158"/>
      <c r="G15" s="158"/>
      <c r="H15" s="158"/>
      <c r="I15" s="158"/>
      <c r="J15" s="158"/>
      <c r="K15" s="161">
        <v>25</v>
      </c>
    </row>
    <row r="16" spans="2:11" s="41" customFormat="1" ht="34.5" customHeight="1">
      <c r="B16" s="158" t="s">
        <v>855</v>
      </c>
      <c r="C16" s="158"/>
      <c r="D16" s="158"/>
      <c r="E16" s="158"/>
      <c r="F16" s="158"/>
      <c r="G16" s="158"/>
      <c r="H16" s="158"/>
      <c r="I16" s="158"/>
      <c r="J16" s="158"/>
      <c r="K16" s="161">
        <v>26</v>
      </c>
    </row>
    <row r="17" spans="2:11" s="41" customFormat="1" ht="34.5" customHeight="1">
      <c r="B17" s="158" t="s">
        <v>856</v>
      </c>
      <c r="C17" s="158"/>
      <c r="D17" s="158"/>
      <c r="E17" s="158"/>
      <c r="F17" s="158"/>
      <c r="G17" s="158"/>
      <c r="H17" s="158"/>
      <c r="I17" s="158"/>
      <c r="J17" s="158"/>
      <c r="K17" s="161">
        <v>28</v>
      </c>
    </row>
    <row r="18" spans="2:11" s="41" customFormat="1" ht="34.5" customHeight="1">
      <c r="B18" s="158" t="s">
        <v>857</v>
      </c>
      <c r="C18" s="158"/>
      <c r="D18" s="158"/>
      <c r="E18" s="158"/>
      <c r="F18" s="158"/>
      <c r="G18" s="158"/>
      <c r="H18" s="158"/>
      <c r="I18" s="158"/>
      <c r="J18" s="158"/>
      <c r="K18" s="161">
        <v>29</v>
      </c>
    </row>
    <row r="19" spans="2:11" s="41" customFormat="1" ht="34.5" customHeight="1">
      <c r="B19" s="158" t="s">
        <v>858</v>
      </c>
      <c r="C19" s="158"/>
      <c r="D19" s="158"/>
      <c r="E19" s="158"/>
      <c r="F19" s="158"/>
      <c r="G19" s="158"/>
      <c r="H19" s="158"/>
      <c r="I19" s="158"/>
      <c r="J19" s="158"/>
      <c r="K19" s="161">
        <v>32</v>
      </c>
    </row>
    <row r="20" spans="2:11" s="41" customFormat="1" ht="34.5" customHeight="1">
      <c r="B20" s="158" t="s">
        <v>859</v>
      </c>
      <c r="C20" s="158"/>
      <c r="D20" s="158"/>
      <c r="E20" s="158"/>
      <c r="F20" s="158"/>
      <c r="G20" s="158"/>
      <c r="H20" s="158"/>
      <c r="I20" s="158"/>
      <c r="J20" s="158"/>
      <c r="K20" s="161">
        <v>35</v>
      </c>
    </row>
    <row r="21" spans="2:31" s="41" customFormat="1" ht="34.5" customHeight="1">
      <c r="B21" s="158" t="s">
        <v>860</v>
      </c>
      <c r="C21" s="158"/>
      <c r="D21" s="158"/>
      <c r="E21" s="158"/>
      <c r="F21" s="158"/>
      <c r="G21" s="158"/>
      <c r="H21" s="158"/>
      <c r="I21" s="158"/>
      <c r="J21" s="158"/>
      <c r="K21" s="161">
        <v>37</v>
      </c>
      <c r="AE21" s="42"/>
    </row>
    <row r="22" spans="2:11" s="41" customFormat="1" ht="34.5" customHeight="1">
      <c r="B22" s="158" t="s">
        <v>861</v>
      </c>
      <c r="C22" s="158"/>
      <c r="D22" s="158"/>
      <c r="E22" s="158"/>
      <c r="F22" s="158"/>
      <c r="G22" s="158"/>
      <c r="H22" s="158"/>
      <c r="I22" s="158"/>
      <c r="J22" s="158"/>
      <c r="K22" s="161">
        <v>38</v>
      </c>
    </row>
    <row r="23" spans="2:18" s="41" customFormat="1" ht="34.5" customHeight="1">
      <c r="B23" s="158" t="s">
        <v>862</v>
      </c>
      <c r="C23" s="158"/>
      <c r="D23" s="158"/>
      <c r="E23" s="158"/>
      <c r="F23" s="158"/>
      <c r="G23" s="158"/>
      <c r="H23" s="158"/>
      <c r="I23" s="158"/>
      <c r="J23" s="158"/>
      <c r="K23" s="161">
        <v>41</v>
      </c>
      <c r="R23" s="42"/>
    </row>
    <row r="24" spans="2:18" s="41" customFormat="1" ht="34.5" customHeight="1">
      <c r="B24" s="158" t="s">
        <v>863</v>
      </c>
      <c r="C24" s="158"/>
      <c r="D24" s="158"/>
      <c r="E24" s="158"/>
      <c r="F24" s="158"/>
      <c r="G24" s="158"/>
      <c r="H24" s="158"/>
      <c r="I24" s="158"/>
      <c r="J24" s="158"/>
      <c r="K24" s="161">
        <v>42</v>
      </c>
      <c r="R24" s="42"/>
    </row>
    <row r="25" spans="2:11" s="41" customFormat="1" ht="34.5" customHeight="1">
      <c r="B25" s="158" t="s">
        <v>864</v>
      </c>
      <c r="C25" s="158"/>
      <c r="D25" s="158"/>
      <c r="E25" s="158"/>
      <c r="F25" s="158"/>
      <c r="G25" s="158"/>
      <c r="H25" s="158"/>
      <c r="I25" s="158"/>
      <c r="J25" s="158"/>
      <c r="K25" s="161">
        <v>44</v>
      </c>
    </row>
    <row r="26" spans="2:11" s="41" customFormat="1" ht="34.5" customHeight="1">
      <c r="B26" s="158" t="s">
        <v>865</v>
      </c>
      <c r="C26" s="158"/>
      <c r="D26" s="158"/>
      <c r="E26" s="158"/>
      <c r="F26" s="158"/>
      <c r="G26" s="158"/>
      <c r="H26" s="158"/>
      <c r="I26" s="158"/>
      <c r="J26" s="158"/>
      <c r="K26" s="161">
        <v>46</v>
      </c>
    </row>
    <row r="27" s="41" customFormat="1" ht="13.5"/>
    <row r="28" s="41" customFormat="1" ht="13.5"/>
    <row r="29" s="41" customFormat="1" ht="13.5"/>
    <row r="30" s="41" customFormat="1" ht="13.5"/>
    <row r="31" s="41" customFormat="1" ht="13.5"/>
    <row r="32" s="41" customFormat="1" ht="13.5"/>
    <row r="33" s="41" customFormat="1" ht="13.5"/>
    <row r="34" s="41" customFormat="1" ht="13.5"/>
    <row r="35" s="41" customFormat="1" ht="13.5"/>
    <row r="36" s="41" customFormat="1" ht="13.5"/>
    <row r="37" s="41" customFormat="1" ht="13.5"/>
  </sheetData>
  <sheetProtection/>
  <mergeCells count="2">
    <mergeCell ref="B1:K1"/>
    <mergeCell ref="B3:K3"/>
  </mergeCells>
  <printOptions/>
  <pageMargins left="0.7874015748031497" right="0.4724409448818898" top="0.7480314960629921" bottom="0.6692913385826772" header="0.5118110236220472" footer="0.2755905511811024"/>
  <pageSetup firstPageNumber="1" useFirstPageNumber="1" horizontalDpi="600" verticalDpi="600" orientation="portrait" paperSize="9" scale="92" r:id="rId1"/>
  <headerFooter scaleWithDoc="0" alignWithMargins="0">
    <oddFooter>&amp;C&amp;12&amp;P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120" zoomScaleSheetLayoutView="120" zoomScalePageLayoutView="0" workbookViewId="0" topLeftCell="A1">
      <pane ySplit="4" topLeftCell="A5" activePane="bottomLeft" state="frozen"/>
      <selection pane="topLeft" activeCell="N6" sqref="N6"/>
      <selection pane="bottomLeft" activeCell="N6" sqref="N6"/>
    </sheetView>
  </sheetViews>
  <sheetFormatPr defaultColWidth="9.00390625" defaultRowHeight="13.5" customHeight="1"/>
  <cols>
    <col min="1" max="1" width="3.50390625" style="82" customWidth="1"/>
    <col min="2" max="2" width="2.875" style="82" customWidth="1"/>
    <col min="3" max="3" width="8.25390625" style="82" customWidth="1"/>
    <col min="4" max="4" width="30.625" style="82" customWidth="1"/>
    <col min="5" max="5" width="6.625" style="82" customWidth="1"/>
    <col min="6" max="6" width="7.375" style="82" customWidth="1"/>
    <col min="7" max="7" width="6.75390625" style="82" customWidth="1"/>
    <col min="8" max="8" width="7.50390625" style="82" customWidth="1"/>
    <col min="9" max="9" width="12.25390625" style="82" customWidth="1"/>
    <col min="10" max="10" width="12.375" style="82" customWidth="1"/>
    <col min="11" max="11" width="0.5" style="18" customWidth="1"/>
    <col min="12" max="21" width="2.625" style="18" customWidth="1"/>
    <col min="22" max="16384" width="9.00390625" style="18" customWidth="1"/>
  </cols>
  <sheetData>
    <row r="1" spans="1:14" s="31" customFormat="1" ht="21" customHeight="1">
      <c r="A1" s="333" t="s">
        <v>332</v>
      </c>
      <c r="B1" s="334"/>
      <c r="C1" s="334"/>
      <c r="D1" s="335"/>
      <c r="E1" s="335"/>
      <c r="F1" s="335" t="s">
        <v>627</v>
      </c>
      <c r="G1" s="335"/>
      <c r="H1" s="336" t="s">
        <v>17</v>
      </c>
      <c r="I1" s="337"/>
      <c r="J1" s="358"/>
      <c r="M1" s="130"/>
      <c r="N1" s="130"/>
    </row>
    <row r="2" spans="1:10" s="105" customFormat="1" ht="16.5" customHeight="1" thickBot="1">
      <c r="A2" s="359" t="s">
        <v>633</v>
      </c>
      <c r="B2" s="360" t="s">
        <v>632</v>
      </c>
      <c r="C2" s="361"/>
      <c r="D2" s="362"/>
      <c r="E2" s="363"/>
      <c r="F2" s="363"/>
      <c r="G2" s="363"/>
      <c r="H2" s="363"/>
      <c r="I2" s="363"/>
      <c r="J2" s="363"/>
    </row>
    <row r="3" spans="1:10" s="105" customFormat="1" ht="16.5" customHeight="1">
      <c r="A3" s="2099" t="s">
        <v>344</v>
      </c>
      <c r="B3" s="2100"/>
      <c r="C3" s="2101"/>
      <c r="D3" s="2105" t="s">
        <v>631</v>
      </c>
      <c r="E3" s="364" t="s">
        <v>345</v>
      </c>
      <c r="F3" s="2107" t="s">
        <v>766</v>
      </c>
      <c r="G3" s="2108"/>
      <c r="H3" s="2109"/>
      <c r="I3" s="348" t="s">
        <v>346</v>
      </c>
      <c r="J3" s="349" t="s">
        <v>337</v>
      </c>
    </row>
    <row r="4" spans="1:10" s="105" customFormat="1" ht="16.5" customHeight="1" thickBot="1">
      <c r="A4" s="2102"/>
      <c r="B4" s="2103"/>
      <c r="C4" s="2104"/>
      <c r="D4" s="2106"/>
      <c r="E4" s="365" t="s">
        <v>347</v>
      </c>
      <c r="F4" s="365" t="s">
        <v>630</v>
      </c>
      <c r="G4" s="365" t="s">
        <v>629</v>
      </c>
      <c r="H4" s="365" t="s">
        <v>628</v>
      </c>
      <c r="I4" s="366" t="s">
        <v>339</v>
      </c>
      <c r="J4" s="367" t="s">
        <v>348</v>
      </c>
    </row>
    <row r="5" spans="1:10" s="105" customFormat="1" ht="22.5" customHeight="1" thickBot="1">
      <c r="A5" s="2110" t="s">
        <v>230</v>
      </c>
      <c r="B5" s="2111"/>
      <c r="C5" s="2112"/>
      <c r="D5" s="368"/>
      <c r="E5" s="369">
        <f>E37+E52+E71</f>
        <v>55</v>
      </c>
      <c r="F5" s="369">
        <f>F37+F52+F71</f>
        <v>1274</v>
      </c>
      <c r="G5" s="369">
        <f>G37+G52+G71</f>
        <v>177</v>
      </c>
      <c r="H5" s="369">
        <f>H37+H52+H71</f>
        <v>1451</v>
      </c>
      <c r="I5" s="370" t="s">
        <v>626</v>
      </c>
      <c r="J5" s="371">
        <f>J37+J52+J71</f>
        <v>3704000</v>
      </c>
    </row>
    <row r="6" spans="1:10" s="105" customFormat="1" ht="22.5" customHeight="1">
      <c r="A6" s="2033" t="s">
        <v>7</v>
      </c>
      <c r="B6" s="2113" t="s">
        <v>260</v>
      </c>
      <c r="C6" s="2087"/>
      <c r="D6" s="1080"/>
      <c r="E6" s="891" t="s">
        <v>869</v>
      </c>
      <c r="F6" s="474"/>
      <c r="G6" s="474"/>
      <c r="H6" s="474"/>
      <c r="I6" s="474"/>
      <c r="J6" s="475"/>
    </row>
    <row r="7" spans="1:10" s="105" customFormat="1" ht="22.5" customHeight="1">
      <c r="A7" s="2034"/>
      <c r="B7" s="2082" t="s">
        <v>97</v>
      </c>
      <c r="C7" s="2082"/>
      <c r="D7" s="1081" t="s">
        <v>969</v>
      </c>
      <c r="E7" s="476">
        <v>1</v>
      </c>
      <c r="F7" s="476">
        <v>42</v>
      </c>
      <c r="G7" s="476">
        <v>5</v>
      </c>
      <c r="H7" s="476">
        <f aca="true" t="shared" si="0" ref="H7:H36">SUM(F7:G7)</f>
        <v>47</v>
      </c>
      <c r="I7" s="476">
        <v>6000</v>
      </c>
      <c r="J7" s="477">
        <v>696000</v>
      </c>
    </row>
    <row r="8" spans="1:10" s="105" customFormat="1" ht="22.5" customHeight="1">
      <c r="A8" s="2034"/>
      <c r="B8" s="2081"/>
      <c r="C8" s="2081"/>
      <c r="D8" s="1082" t="s">
        <v>970</v>
      </c>
      <c r="E8" s="478">
        <v>1</v>
      </c>
      <c r="F8" s="478">
        <v>90</v>
      </c>
      <c r="G8" s="478">
        <v>8</v>
      </c>
      <c r="H8" s="525">
        <f t="shared" si="0"/>
        <v>98</v>
      </c>
      <c r="I8" s="645">
        <v>30000</v>
      </c>
      <c r="J8" s="479"/>
    </row>
    <row r="9" spans="1:13" s="105" customFormat="1" ht="22.5" customHeight="1">
      <c r="A9" s="2034"/>
      <c r="B9" s="2081"/>
      <c r="C9" s="2081"/>
      <c r="D9" s="1081" t="s">
        <v>971</v>
      </c>
      <c r="E9" s="478">
        <v>1</v>
      </c>
      <c r="F9" s="478">
        <v>20</v>
      </c>
      <c r="G9" s="478">
        <v>4</v>
      </c>
      <c r="H9" s="478">
        <f t="shared" si="0"/>
        <v>24</v>
      </c>
      <c r="I9" s="478">
        <v>120000</v>
      </c>
      <c r="J9" s="479"/>
      <c r="M9" s="109"/>
    </row>
    <row r="10" spans="1:10" s="105" customFormat="1" ht="22.5" customHeight="1">
      <c r="A10" s="2034"/>
      <c r="B10" s="2081"/>
      <c r="C10" s="2081"/>
      <c r="D10" s="1081" t="s">
        <v>972</v>
      </c>
      <c r="E10" s="478">
        <v>1</v>
      </c>
      <c r="F10" s="478">
        <v>5</v>
      </c>
      <c r="G10" s="478"/>
      <c r="H10" s="478">
        <f t="shared" si="0"/>
        <v>5</v>
      </c>
      <c r="I10" s="478">
        <v>5000</v>
      </c>
      <c r="J10" s="479"/>
    </row>
    <row r="11" spans="1:10" s="105" customFormat="1" ht="22.5" customHeight="1">
      <c r="A11" s="2034"/>
      <c r="B11" s="2081"/>
      <c r="C11" s="2081"/>
      <c r="D11" s="1081" t="s">
        <v>973</v>
      </c>
      <c r="E11" s="478">
        <v>1</v>
      </c>
      <c r="F11" s="478">
        <v>15</v>
      </c>
      <c r="G11" s="478"/>
      <c r="H11" s="478">
        <f t="shared" si="0"/>
        <v>15</v>
      </c>
      <c r="I11" s="478">
        <v>2000</v>
      </c>
      <c r="J11" s="479">
        <v>100000</v>
      </c>
    </row>
    <row r="12" spans="1:10" s="105" customFormat="1" ht="22.5" customHeight="1">
      <c r="A12" s="2034"/>
      <c r="B12" s="2081"/>
      <c r="C12" s="2081"/>
      <c r="D12" s="1081" t="s">
        <v>974</v>
      </c>
      <c r="E12" s="478">
        <v>1</v>
      </c>
      <c r="F12" s="478">
        <v>39</v>
      </c>
      <c r="G12" s="478"/>
      <c r="H12" s="478">
        <f t="shared" si="0"/>
        <v>39</v>
      </c>
      <c r="I12" s="478"/>
      <c r="J12" s="479"/>
    </row>
    <row r="13" spans="1:10" s="105" customFormat="1" ht="22.5" customHeight="1">
      <c r="A13" s="2034"/>
      <c r="B13" s="2081"/>
      <c r="C13" s="2081"/>
      <c r="D13" s="1082" t="s">
        <v>975</v>
      </c>
      <c r="E13" s="478">
        <v>1</v>
      </c>
      <c r="F13" s="478">
        <v>6</v>
      </c>
      <c r="G13" s="478"/>
      <c r="H13" s="478">
        <f t="shared" si="0"/>
        <v>6</v>
      </c>
      <c r="I13" s="478"/>
      <c r="J13" s="479"/>
    </row>
    <row r="14" spans="1:10" s="105" customFormat="1" ht="22.5" customHeight="1">
      <c r="A14" s="2034"/>
      <c r="B14" s="2081"/>
      <c r="C14" s="2081"/>
      <c r="D14" s="1082" t="s">
        <v>976</v>
      </c>
      <c r="E14" s="478">
        <v>1</v>
      </c>
      <c r="F14" s="478">
        <v>18</v>
      </c>
      <c r="G14" s="478"/>
      <c r="H14" s="478">
        <f t="shared" si="0"/>
        <v>18</v>
      </c>
      <c r="I14" s="478">
        <v>2500</v>
      </c>
      <c r="J14" s="479"/>
    </row>
    <row r="15" spans="1:10" s="105" customFormat="1" ht="22.5" customHeight="1">
      <c r="A15" s="2034"/>
      <c r="B15" s="2081"/>
      <c r="C15" s="2081"/>
      <c r="D15" s="1083" t="s">
        <v>715</v>
      </c>
      <c r="E15" s="478">
        <v>1</v>
      </c>
      <c r="F15" s="478">
        <v>28</v>
      </c>
      <c r="G15" s="478"/>
      <c r="H15" s="478">
        <f t="shared" si="0"/>
        <v>28</v>
      </c>
      <c r="I15" s="478">
        <v>12000</v>
      </c>
      <c r="J15" s="479">
        <v>100000</v>
      </c>
    </row>
    <row r="16" spans="1:10" s="105" customFormat="1" ht="22.5" customHeight="1">
      <c r="A16" s="2034"/>
      <c r="B16" s="2081"/>
      <c r="C16" s="2081"/>
      <c r="D16" s="1083" t="s">
        <v>716</v>
      </c>
      <c r="E16" s="478">
        <v>1</v>
      </c>
      <c r="F16" s="478"/>
      <c r="G16" s="478">
        <v>65</v>
      </c>
      <c r="H16" s="478">
        <f t="shared" si="0"/>
        <v>65</v>
      </c>
      <c r="I16" s="478">
        <v>2500</v>
      </c>
      <c r="J16" s="479">
        <v>100000</v>
      </c>
    </row>
    <row r="17" spans="1:10" s="105" customFormat="1" ht="22.5" customHeight="1">
      <c r="A17" s="2034"/>
      <c r="B17" s="2081" t="s">
        <v>261</v>
      </c>
      <c r="C17" s="2081"/>
      <c r="D17" s="1084"/>
      <c r="E17" s="888" t="s">
        <v>868</v>
      </c>
      <c r="F17" s="476"/>
      <c r="G17" s="476"/>
      <c r="H17" s="476"/>
      <c r="I17" s="476"/>
      <c r="J17" s="477"/>
    </row>
    <row r="18" spans="1:11" s="105" customFormat="1" ht="22.5" customHeight="1">
      <c r="A18" s="2034"/>
      <c r="B18" s="2056" t="s">
        <v>21</v>
      </c>
      <c r="C18" s="2057"/>
      <c r="D18" s="1085" t="s">
        <v>955</v>
      </c>
      <c r="E18" s="476">
        <v>1</v>
      </c>
      <c r="F18" s="476">
        <v>219</v>
      </c>
      <c r="G18" s="476">
        <v>22</v>
      </c>
      <c r="H18" s="476">
        <f t="shared" si="0"/>
        <v>241</v>
      </c>
      <c r="I18" s="476">
        <v>24000</v>
      </c>
      <c r="J18" s="477"/>
      <c r="K18" s="208">
        <f>SUM(F18:H18)</f>
        <v>482</v>
      </c>
    </row>
    <row r="19" spans="1:10" s="105" customFormat="1" ht="22.5" customHeight="1">
      <c r="A19" s="2034"/>
      <c r="B19" s="2058"/>
      <c r="C19" s="2059"/>
      <c r="D19" s="1086" t="s">
        <v>956</v>
      </c>
      <c r="E19" s="478">
        <v>1</v>
      </c>
      <c r="F19" s="478">
        <v>48</v>
      </c>
      <c r="G19" s="478">
        <v>4</v>
      </c>
      <c r="H19" s="478">
        <f t="shared" si="0"/>
        <v>52</v>
      </c>
      <c r="I19" s="478">
        <v>120000</v>
      </c>
      <c r="J19" s="479"/>
    </row>
    <row r="20" spans="1:10" s="105" customFormat="1" ht="22.5" customHeight="1">
      <c r="A20" s="2034"/>
      <c r="B20" s="2058"/>
      <c r="C20" s="2059"/>
      <c r="D20" s="1086" t="s">
        <v>957</v>
      </c>
      <c r="E20" s="478">
        <v>1</v>
      </c>
      <c r="F20" s="478">
        <v>5</v>
      </c>
      <c r="G20" s="478"/>
      <c r="H20" s="478">
        <f t="shared" si="0"/>
        <v>5</v>
      </c>
      <c r="I20" s="478">
        <v>10000</v>
      </c>
      <c r="J20" s="479"/>
    </row>
    <row r="21" spans="1:10" s="105" customFormat="1" ht="22.5" customHeight="1">
      <c r="A21" s="2034"/>
      <c r="B21" s="2058"/>
      <c r="C21" s="2059"/>
      <c r="D21" s="1086" t="s">
        <v>958</v>
      </c>
      <c r="E21" s="478">
        <v>1</v>
      </c>
      <c r="F21" s="478">
        <v>15</v>
      </c>
      <c r="G21" s="478"/>
      <c r="H21" s="478">
        <f t="shared" si="0"/>
        <v>15</v>
      </c>
      <c r="I21" s="478">
        <v>10000</v>
      </c>
      <c r="J21" s="479"/>
    </row>
    <row r="22" spans="1:10" s="105" customFormat="1" ht="22.5" customHeight="1">
      <c r="A22" s="2034"/>
      <c r="B22" s="2058"/>
      <c r="C22" s="2059"/>
      <c r="D22" s="1086" t="s">
        <v>959</v>
      </c>
      <c r="E22" s="478">
        <v>1</v>
      </c>
      <c r="F22" s="478">
        <v>14</v>
      </c>
      <c r="G22" s="478"/>
      <c r="H22" s="478">
        <f t="shared" si="0"/>
        <v>14</v>
      </c>
      <c r="I22" s="478">
        <v>10000</v>
      </c>
      <c r="J22" s="479"/>
    </row>
    <row r="23" spans="1:10" s="105" customFormat="1" ht="22.5" customHeight="1">
      <c r="A23" s="2034"/>
      <c r="B23" s="2058"/>
      <c r="C23" s="2059"/>
      <c r="D23" s="1086" t="s">
        <v>960</v>
      </c>
      <c r="E23" s="478">
        <v>1</v>
      </c>
      <c r="F23" s="478"/>
      <c r="G23" s="478">
        <v>8</v>
      </c>
      <c r="H23" s="478">
        <f t="shared" si="0"/>
        <v>8</v>
      </c>
      <c r="I23" s="478">
        <v>2000</v>
      </c>
      <c r="J23" s="479"/>
    </row>
    <row r="24" spans="1:10" s="105" customFormat="1" ht="22.5" customHeight="1">
      <c r="A24" s="2034"/>
      <c r="B24" s="2058"/>
      <c r="C24" s="2059"/>
      <c r="D24" s="1086" t="s">
        <v>961</v>
      </c>
      <c r="E24" s="478">
        <v>1</v>
      </c>
      <c r="F24" s="478">
        <v>7</v>
      </c>
      <c r="G24" s="478"/>
      <c r="H24" s="478">
        <f t="shared" si="0"/>
        <v>7</v>
      </c>
      <c r="I24" s="478"/>
      <c r="J24" s="479"/>
    </row>
    <row r="25" spans="1:10" s="105" customFormat="1" ht="22.5" customHeight="1">
      <c r="A25" s="2034"/>
      <c r="B25" s="2058"/>
      <c r="C25" s="2059"/>
      <c r="D25" s="1086" t="s">
        <v>962</v>
      </c>
      <c r="E25" s="478">
        <v>1</v>
      </c>
      <c r="F25" s="478">
        <v>7</v>
      </c>
      <c r="G25" s="478">
        <v>2</v>
      </c>
      <c r="H25" s="478">
        <f t="shared" si="0"/>
        <v>9</v>
      </c>
      <c r="I25" s="478"/>
      <c r="J25" s="479"/>
    </row>
    <row r="26" spans="1:10" s="105" customFormat="1" ht="22.5" customHeight="1">
      <c r="A26" s="2034"/>
      <c r="B26" s="2058"/>
      <c r="C26" s="2059"/>
      <c r="D26" s="1086" t="s">
        <v>963</v>
      </c>
      <c r="E26" s="478">
        <v>1</v>
      </c>
      <c r="F26" s="478">
        <v>9</v>
      </c>
      <c r="G26" s="478"/>
      <c r="H26" s="478">
        <f t="shared" si="0"/>
        <v>9</v>
      </c>
      <c r="I26" s="478"/>
      <c r="J26" s="479"/>
    </row>
    <row r="27" spans="1:10" s="105" customFormat="1" ht="22.5" customHeight="1">
      <c r="A27" s="2034"/>
      <c r="B27" s="2058"/>
      <c r="C27" s="2059"/>
      <c r="D27" s="1086" t="s">
        <v>964</v>
      </c>
      <c r="E27" s="478">
        <v>1</v>
      </c>
      <c r="F27" s="478">
        <v>13</v>
      </c>
      <c r="G27" s="478"/>
      <c r="H27" s="478">
        <f t="shared" si="0"/>
        <v>13</v>
      </c>
      <c r="I27" s="478">
        <v>6000</v>
      </c>
      <c r="J27" s="479"/>
    </row>
    <row r="28" spans="1:10" s="105" customFormat="1" ht="22.5" customHeight="1">
      <c r="A28" s="2034"/>
      <c r="B28" s="2058"/>
      <c r="C28" s="2059"/>
      <c r="D28" s="1086" t="s">
        <v>965</v>
      </c>
      <c r="E28" s="478">
        <v>1</v>
      </c>
      <c r="F28" s="478">
        <v>10</v>
      </c>
      <c r="G28" s="478"/>
      <c r="H28" s="478">
        <f t="shared" si="0"/>
        <v>10</v>
      </c>
      <c r="I28" s="478"/>
      <c r="J28" s="479"/>
    </row>
    <row r="29" spans="1:10" s="105" customFormat="1" ht="22.5" customHeight="1">
      <c r="A29" s="2034"/>
      <c r="B29" s="2058"/>
      <c r="C29" s="2059"/>
      <c r="D29" s="1086" t="s">
        <v>966</v>
      </c>
      <c r="E29" s="478">
        <v>1</v>
      </c>
      <c r="F29" s="478">
        <v>6</v>
      </c>
      <c r="G29" s="478"/>
      <c r="H29" s="478">
        <f t="shared" si="0"/>
        <v>6</v>
      </c>
      <c r="I29" s="478">
        <v>7000</v>
      </c>
      <c r="J29" s="479"/>
    </row>
    <row r="30" spans="1:10" s="105" customFormat="1" ht="22.5" customHeight="1">
      <c r="A30" s="2034"/>
      <c r="B30" s="2058"/>
      <c r="C30" s="2059"/>
      <c r="D30" s="1086" t="s">
        <v>967</v>
      </c>
      <c r="E30" s="478">
        <v>1</v>
      </c>
      <c r="F30" s="478">
        <v>23</v>
      </c>
      <c r="G30" s="478"/>
      <c r="H30" s="478">
        <f t="shared" si="0"/>
        <v>23</v>
      </c>
      <c r="I30" s="478">
        <v>5000</v>
      </c>
      <c r="J30" s="479"/>
    </row>
    <row r="31" spans="1:10" s="105" customFormat="1" ht="22.5" customHeight="1">
      <c r="A31" s="2034"/>
      <c r="B31" s="2075"/>
      <c r="C31" s="2076"/>
      <c r="D31" s="1086" t="s">
        <v>968</v>
      </c>
      <c r="E31" s="478">
        <v>1</v>
      </c>
      <c r="F31" s="478">
        <v>14</v>
      </c>
      <c r="G31" s="478"/>
      <c r="H31" s="478">
        <f t="shared" si="0"/>
        <v>14</v>
      </c>
      <c r="I31" s="478">
        <v>12000</v>
      </c>
      <c r="J31" s="479"/>
    </row>
    <row r="32" spans="1:10" s="105" customFormat="1" ht="22.5" customHeight="1">
      <c r="A32" s="2034"/>
      <c r="B32" s="2081" t="s">
        <v>101</v>
      </c>
      <c r="C32" s="2073"/>
      <c r="D32" s="1087" t="s">
        <v>720</v>
      </c>
      <c r="E32" s="637">
        <v>1</v>
      </c>
      <c r="F32" s="476">
        <v>5</v>
      </c>
      <c r="G32" s="476">
        <v>3</v>
      </c>
      <c r="H32" s="476">
        <f t="shared" si="0"/>
        <v>8</v>
      </c>
      <c r="I32" s="476"/>
      <c r="J32" s="477"/>
    </row>
    <row r="33" spans="1:10" s="105" customFormat="1" ht="22.5" customHeight="1">
      <c r="A33" s="2034"/>
      <c r="B33" s="2081"/>
      <c r="C33" s="2073"/>
      <c r="D33" s="1088" t="s">
        <v>719</v>
      </c>
      <c r="E33" s="606">
        <v>1</v>
      </c>
      <c r="F33" s="478">
        <v>16</v>
      </c>
      <c r="G33" s="478"/>
      <c r="H33" s="478">
        <f t="shared" si="0"/>
        <v>16</v>
      </c>
      <c r="I33" s="478">
        <v>6000</v>
      </c>
      <c r="J33" s="479"/>
    </row>
    <row r="34" spans="1:10" s="105" customFormat="1" ht="22.5" customHeight="1">
      <c r="A34" s="2034"/>
      <c r="B34" s="2081"/>
      <c r="C34" s="2073"/>
      <c r="D34" s="1088" t="s">
        <v>349</v>
      </c>
      <c r="E34" s="606">
        <v>1</v>
      </c>
      <c r="F34" s="478">
        <v>7</v>
      </c>
      <c r="G34" s="478"/>
      <c r="H34" s="478">
        <f t="shared" si="0"/>
        <v>7</v>
      </c>
      <c r="I34" s="478">
        <v>6000</v>
      </c>
      <c r="J34" s="479"/>
    </row>
    <row r="35" spans="1:10" s="105" customFormat="1" ht="22.5" customHeight="1">
      <c r="A35" s="2034"/>
      <c r="B35" s="2081"/>
      <c r="C35" s="2073"/>
      <c r="D35" s="1088" t="s">
        <v>744</v>
      </c>
      <c r="E35" s="606">
        <v>1</v>
      </c>
      <c r="F35" s="478">
        <v>11</v>
      </c>
      <c r="G35" s="478"/>
      <c r="H35" s="478">
        <f>SUM(F35:G35)</f>
        <v>11</v>
      </c>
      <c r="I35" s="478">
        <v>6000</v>
      </c>
      <c r="J35" s="479"/>
    </row>
    <row r="36" spans="1:10" s="105" customFormat="1" ht="22.5" customHeight="1" thickBot="1">
      <c r="A36" s="2034"/>
      <c r="B36" s="2083"/>
      <c r="C36" s="2084"/>
      <c r="D36" s="1089" t="s">
        <v>350</v>
      </c>
      <c r="E36" s="1022">
        <v>1</v>
      </c>
      <c r="F36" s="1023">
        <v>11</v>
      </c>
      <c r="G36" s="1023"/>
      <c r="H36" s="1023">
        <f t="shared" si="0"/>
        <v>11</v>
      </c>
      <c r="I36" s="1023"/>
      <c r="J36" s="1024"/>
    </row>
    <row r="37" spans="1:10" s="105" customFormat="1" ht="22.5" customHeight="1" thickBot="1" thickTop="1">
      <c r="A37" s="2035"/>
      <c r="B37" s="2085" t="s">
        <v>218</v>
      </c>
      <c r="C37" s="2063"/>
      <c r="D37" s="372"/>
      <c r="E37" s="373">
        <f>SUM(E6:E36)</f>
        <v>29</v>
      </c>
      <c r="F37" s="373">
        <f>SUM(F6:F36)</f>
        <v>703</v>
      </c>
      <c r="G37" s="373">
        <f>SUM(G6:G36)</f>
        <v>121</v>
      </c>
      <c r="H37" s="373">
        <f>SUM(H6:H36)</f>
        <v>824</v>
      </c>
      <c r="I37" s="376" t="s">
        <v>626</v>
      </c>
      <c r="J37" s="375">
        <f>SUM(J6:J36)</f>
        <v>996000</v>
      </c>
    </row>
    <row r="38" spans="1:10" s="105" customFormat="1" ht="22.5" customHeight="1">
      <c r="A38" s="2064" t="s">
        <v>9</v>
      </c>
      <c r="B38" s="2086" t="s">
        <v>103</v>
      </c>
      <c r="C38" s="2087"/>
      <c r="D38" s="1080"/>
      <c r="E38" s="886" t="s">
        <v>867</v>
      </c>
      <c r="F38" s="480"/>
      <c r="G38" s="480"/>
      <c r="H38" s="480"/>
      <c r="I38" s="480"/>
      <c r="J38" s="481"/>
    </row>
    <row r="39" spans="1:10" s="105" customFormat="1" ht="22.5" customHeight="1">
      <c r="A39" s="2065"/>
      <c r="B39" s="2088" t="s">
        <v>104</v>
      </c>
      <c r="C39" s="2089"/>
      <c r="D39" s="1084" t="s">
        <v>722</v>
      </c>
      <c r="E39" s="476">
        <v>1</v>
      </c>
      <c r="F39" s="476">
        <v>57</v>
      </c>
      <c r="G39" s="476">
        <v>1</v>
      </c>
      <c r="H39" s="478">
        <f>SUM(F39:G39)</f>
        <v>58</v>
      </c>
      <c r="I39" s="476">
        <v>15000</v>
      </c>
      <c r="J39" s="477"/>
    </row>
    <row r="40" spans="1:10" s="105" customFormat="1" ht="22.5" customHeight="1">
      <c r="A40" s="2065"/>
      <c r="B40" s="2090"/>
      <c r="C40" s="2091"/>
      <c r="D40" s="1088" t="s">
        <v>723</v>
      </c>
      <c r="E40" s="606">
        <v>1</v>
      </c>
      <c r="F40" s="478">
        <v>20</v>
      </c>
      <c r="G40" s="478">
        <v>1</v>
      </c>
      <c r="H40" s="478">
        <f>SUM(F40:G40)</f>
        <v>21</v>
      </c>
      <c r="I40" s="478">
        <v>5000</v>
      </c>
      <c r="J40" s="479">
        <v>225000</v>
      </c>
    </row>
    <row r="41" spans="1:10" s="105" customFormat="1" ht="22.5" customHeight="1">
      <c r="A41" s="2065"/>
      <c r="B41" s="2090"/>
      <c r="C41" s="2091"/>
      <c r="D41" s="1088" t="s">
        <v>724</v>
      </c>
      <c r="E41" s="606">
        <v>1</v>
      </c>
      <c r="F41" s="478">
        <v>15</v>
      </c>
      <c r="G41" s="478"/>
      <c r="H41" s="478">
        <f>SUM(F41:G41)</f>
        <v>15</v>
      </c>
      <c r="I41" s="478">
        <v>3000</v>
      </c>
      <c r="J41" s="479">
        <v>180000</v>
      </c>
    </row>
    <row r="42" spans="1:10" s="105" customFormat="1" ht="22.5" customHeight="1">
      <c r="A42" s="2065"/>
      <c r="B42" s="2090"/>
      <c r="C42" s="2091"/>
      <c r="D42" s="1088" t="s">
        <v>725</v>
      </c>
      <c r="E42" s="606">
        <v>1</v>
      </c>
      <c r="F42" s="478">
        <v>20</v>
      </c>
      <c r="G42" s="478"/>
      <c r="H42" s="478">
        <f>SUM(F42:G42)</f>
        <v>20</v>
      </c>
      <c r="I42" s="478">
        <v>1000</v>
      </c>
      <c r="J42" s="479">
        <v>180000</v>
      </c>
    </row>
    <row r="43" spans="1:10" s="105" customFormat="1" ht="22.5" customHeight="1">
      <c r="A43" s="2065"/>
      <c r="B43" s="2092"/>
      <c r="C43" s="2093"/>
      <c r="D43" s="1090" t="s">
        <v>726</v>
      </c>
      <c r="E43" s="607">
        <v>1</v>
      </c>
      <c r="F43" s="482">
        <v>15</v>
      </c>
      <c r="G43" s="482"/>
      <c r="H43" s="482">
        <f>SUM(F43:G43)</f>
        <v>15</v>
      </c>
      <c r="I43" s="482">
        <v>5000</v>
      </c>
      <c r="J43" s="483">
        <v>50000</v>
      </c>
    </row>
    <row r="44" spans="1:13" s="105" customFormat="1" ht="22.5" customHeight="1">
      <c r="A44" s="2065"/>
      <c r="B44" s="2095" t="s">
        <v>105</v>
      </c>
      <c r="C44" s="2096"/>
      <c r="D44" s="1091" t="s">
        <v>351</v>
      </c>
      <c r="E44" s="478">
        <v>1</v>
      </c>
      <c r="F44" s="478">
        <v>31</v>
      </c>
      <c r="G44" s="478"/>
      <c r="H44" s="478">
        <f aca="true" t="shared" si="1" ref="H44:H51">SUM(F44:G44)</f>
        <v>31</v>
      </c>
      <c r="I44" s="478">
        <v>3000</v>
      </c>
      <c r="J44" s="479">
        <v>1180000</v>
      </c>
      <c r="M44" s="118"/>
    </row>
    <row r="45" spans="1:13" s="105" customFormat="1" ht="22.5" customHeight="1">
      <c r="A45" s="2065"/>
      <c r="B45" s="2097"/>
      <c r="C45" s="2098"/>
      <c r="D45" s="1092" t="s">
        <v>352</v>
      </c>
      <c r="E45" s="482">
        <v>1</v>
      </c>
      <c r="F45" s="482">
        <v>25</v>
      </c>
      <c r="G45" s="482"/>
      <c r="H45" s="482">
        <f t="shared" si="1"/>
        <v>25</v>
      </c>
      <c r="I45" s="482">
        <v>10000</v>
      </c>
      <c r="J45" s="483"/>
      <c r="M45" s="118"/>
    </row>
    <row r="46" spans="1:10" s="105" customFormat="1" ht="22.5" customHeight="1">
      <c r="A46" s="2065"/>
      <c r="B46" s="2094" t="s">
        <v>42</v>
      </c>
      <c r="C46" s="2094"/>
      <c r="D46" s="484"/>
      <c r="E46" s="889" t="s">
        <v>869</v>
      </c>
      <c r="F46" s="485"/>
      <c r="G46" s="485"/>
      <c r="H46" s="482"/>
      <c r="I46" s="485"/>
      <c r="J46" s="486"/>
    </row>
    <row r="47" spans="1:10" s="105" customFormat="1" ht="22.5" customHeight="1">
      <c r="A47" s="2065"/>
      <c r="B47" s="2069" t="s">
        <v>51</v>
      </c>
      <c r="C47" s="2070"/>
      <c r="D47" s="1082" t="s">
        <v>353</v>
      </c>
      <c r="E47" s="478">
        <v>1</v>
      </c>
      <c r="F47" s="478">
        <v>7</v>
      </c>
      <c r="G47" s="478"/>
      <c r="H47" s="478">
        <f t="shared" si="1"/>
        <v>7</v>
      </c>
      <c r="I47" s="478">
        <v>2000</v>
      </c>
      <c r="J47" s="479">
        <v>50000</v>
      </c>
    </row>
    <row r="48" spans="1:10" s="105" customFormat="1" ht="22.5" customHeight="1">
      <c r="A48" s="2065"/>
      <c r="B48" s="2071"/>
      <c r="C48" s="2072"/>
      <c r="D48" s="1095" t="s">
        <v>354</v>
      </c>
      <c r="E48" s="482">
        <v>1</v>
      </c>
      <c r="F48" s="482">
        <v>33</v>
      </c>
      <c r="G48" s="482"/>
      <c r="H48" s="482">
        <f t="shared" si="1"/>
        <v>33</v>
      </c>
      <c r="I48" s="482">
        <v>10000</v>
      </c>
      <c r="J48" s="483"/>
    </row>
    <row r="49" spans="1:10" s="105" customFormat="1" ht="22.5" customHeight="1">
      <c r="A49" s="2065"/>
      <c r="B49" s="2056" t="s">
        <v>52</v>
      </c>
      <c r="C49" s="2057"/>
      <c r="D49" s="1096" t="s">
        <v>721</v>
      </c>
      <c r="E49" s="476">
        <v>1</v>
      </c>
      <c r="F49" s="476">
        <v>31</v>
      </c>
      <c r="G49" s="476">
        <v>1</v>
      </c>
      <c r="H49" s="476">
        <f t="shared" si="1"/>
        <v>32</v>
      </c>
      <c r="I49" s="476">
        <v>8000</v>
      </c>
      <c r="J49" s="477">
        <v>400000</v>
      </c>
    </row>
    <row r="50" spans="1:10" s="105" customFormat="1" ht="22.5" customHeight="1">
      <c r="A50" s="2065"/>
      <c r="B50" s="2058"/>
      <c r="C50" s="2059"/>
      <c r="D50" s="1083" t="s">
        <v>355</v>
      </c>
      <c r="E50" s="478">
        <v>1</v>
      </c>
      <c r="F50" s="478">
        <v>15</v>
      </c>
      <c r="G50" s="478">
        <v>2</v>
      </c>
      <c r="H50" s="478">
        <f t="shared" si="1"/>
        <v>17</v>
      </c>
      <c r="I50" s="478">
        <v>5000</v>
      </c>
      <c r="J50" s="479">
        <v>150000</v>
      </c>
    </row>
    <row r="51" spans="1:10" s="105" customFormat="1" ht="22.5" customHeight="1" thickBot="1">
      <c r="A51" s="2065"/>
      <c r="B51" s="2060"/>
      <c r="C51" s="2061"/>
      <c r="D51" s="1097" t="s">
        <v>356</v>
      </c>
      <c r="E51" s="1023">
        <v>1</v>
      </c>
      <c r="F51" s="1023">
        <v>3</v>
      </c>
      <c r="G51" s="1023">
        <v>6</v>
      </c>
      <c r="H51" s="1023">
        <f t="shared" si="1"/>
        <v>9</v>
      </c>
      <c r="I51" s="1023">
        <v>1000</v>
      </c>
      <c r="J51" s="1024"/>
    </row>
    <row r="52" spans="1:10" s="105" customFormat="1" ht="22.5" customHeight="1" thickBot="1" thickTop="1">
      <c r="A52" s="2066"/>
      <c r="B52" s="2062" t="s">
        <v>218</v>
      </c>
      <c r="C52" s="2063"/>
      <c r="D52" s="372"/>
      <c r="E52" s="373">
        <f>SUM(E38:E51)</f>
        <v>12</v>
      </c>
      <c r="F52" s="373">
        <f>SUM(F38:F51)</f>
        <v>272</v>
      </c>
      <c r="G52" s="373">
        <f>SUM(G38:G51)</f>
        <v>11</v>
      </c>
      <c r="H52" s="373">
        <f>SUM(H38:H51)</f>
        <v>283</v>
      </c>
      <c r="I52" s="374" t="s">
        <v>772</v>
      </c>
      <c r="J52" s="375">
        <f>SUM(J38:J51)</f>
        <v>2415000</v>
      </c>
    </row>
    <row r="53" spans="1:10" s="105" customFormat="1" ht="22.5" customHeight="1">
      <c r="A53" s="2033" t="s">
        <v>8</v>
      </c>
      <c r="B53" s="2067" t="s">
        <v>25</v>
      </c>
      <c r="C53" s="2068"/>
      <c r="D53" s="1098" t="s">
        <v>357</v>
      </c>
      <c r="E53" s="524">
        <v>1</v>
      </c>
      <c r="F53" s="524">
        <v>61</v>
      </c>
      <c r="G53" s="524"/>
      <c r="H53" s="524">
        <f aca="true" t="shared" si="2" ref="H53:H61">SUM(F53:G53)</f>
        <v>61</v>
      </c>
      <c r="I53" s="524">
        <v>1000</v>
      </c>
      <c r="J53" s="475">
        <v>180000</v>
      </c>
    </row>
    <row r="54" spans="1:10" s="105" customFormat="1" ht="22.5" customHeight="1">
      <c r="A54" s="2034"/>
      <c r="B54" s="2069"/>
      <c r="C54" s="2070"/>
      <c r="D54" s="1091" t="s">
        <v>358</v>
      </c>
      <c r="E54" s="525">
        <v>1</v>
      </c>
      <c r="F54" s="525">
        <v>27</v>
      </c>
      <c r="G54" s="525">
        <v>2</v>
      </c>
      <c r="H54" s="525">
        <f t="shared" si="2"/>
        <v>29</v>
      </c>
      <c r="I54" s="525">
        <v>120000</v>
      </c>
      <c r="J54" s="479"/>
    </row>
    <row r="55" spans="1:10" s="105" customFormat="1" ht="22.5" customHeight="1">
      <c r="A55" s="2034"/>
      <c r="B55" s="2071"/>
      <c r="C55" s="2072"/>
      <c r="D55" s="1092" t="s">
        <v>822</v>
      </c>
      <c r="E55" s="625">
        <v>1</v>
      </c>
      <c r="F55" s="625">
        <v>54</v>
      </c>
      <c r="G55" s="625">
        <v>4</v>
      </c>
      <c r="H55" s="625">
        <f t="shared" si="2"/>
        <v>58</v>
      </c>
      <c r="I55" s="625">
        <v>24000</v>
      </c>
      <c r="J55" s="483"/>
    </row>
    <row r="56" spans="1:10" s="105" customFormat="1" ht="22.5" customHeight="1">
      <c r="A56" s="2034"/>
      <c r="B56" s="2073" t="s">
        <v>318</v>
      </c>
      <c r="C56" s="2074"/>
      <c r="D56" s="1099"/>
      <c r="E56" s="890" t="s">
        <v>869</v>
      </c>
      <c r="F56" s="482"/>
      <c r="G56" s="482"/>
      <c r="H56" s="625"/>
      <c r="I56" s="482"/>
      <c r="J56" s="483"/>
    </row>
    <row r="57" spans="1:10" s="105" customFormat="1" ht="22.5" customHeight="1">
      <c r="A57" s="2034"/>
      <c r="B57" s="2056" t="s">
        <v>113</v>
      </c>
      <c r="C57" s="2057"/>
      <c r="D57" s="1100" t="s">
        <v>359</v>
      </c>
      <c r="E57" s="476">
        <v>1</v>
      </c>
      <c r="F57" s="476">
        <v>10</v>
      </c>
      <c r="G57" s="476">
        <v>3</v>
      </c>
      <c r="H57" s="562">
        <f t="shared" si="2"/>
        <v>13</v>
      </c>
      <c r="I57" s="476"/>
      <c r="J57" s="477"/>
    </row>
    <row r="58" spans="1:10" s="105" customFormat="1" ht="22.5" customHeight="1">
      <c r="A58" s="2034"/>
      <c r="B58" s="2058"/>
      <c r="C58" s="2059"/>
      <c r="D58" s="1081" t="s">
        <v>977</v>
      </c>
      <c r="E58" s="478">
        <v>1</v>
      </c>
      <c r="F58" s="478">
        <v>18</v>
      </c>
      <c r="G58" s="478">
        <v>6</v>
      </c>
      <c r="H58" s="525">
        <f t="shared" si="2"/>
        <v>24</v>
      </c>
      <c r="I58" s="478"/>
      <c r="J58" s="479"/>
    </row>
    <row r="59" spans="1:10" s="105" customFormat="1" ht="22.5" customHeight="1">
      <c r="A59" s="2034"/>
      <c r="B59" s="2058"/>
      <c r="C59" s="2059"/>
      <c r="D59" s="1081" t="s">
        <v>747</v>
      </c>
      <c r="E59" s="478">
        <v>1</v>
      </c>
      <c r="F59" s="478">
        <v>14</v>
      </c>
      <c r="G59" s="478">
        <v>12</v>
      </c>
      <c r="H59" s="525">
        <f>SUM(F59:G59)</f>
        <v>26</v>
      </c>
      <c r="I59" s="478"/>
      <c r="J59" s="479"/>
    </row>
    <row r="60" spans="1:10" s="105" customFormat="1" ht="22.5" customHeight="1">
      <c r="A60" s="2034"/>
      <c r="B60" s="2058"/>
      <c r="C60" s="2059"/>
      <c r="D60" s="1081" t="s">
        <v>360</v>
      </c>
      <c r="E60" s="478">
        <v>1</v>
      </c>
      <c r="F60" s="478">
        <v>12</v>
      </c>
      <c r="G60" s="478">
        <v>3</v>
      </c>
      <c r="H60" s="525">
        <f t="shared" si="2"/>
        <v>15</v>
      </c>
      <c r="I60" s="648"/>
      <c r="J60" s="479"/>
    </row>
    <row r="61" spans="1:10" s="105" customFormat="1" ht="22.5" customHeight="1">
      <c r="A61" s="2034"/>
      <c r="B61" s="2075"/>
      <c r="C61" s="2076"/>
      <c r="D61" s="1099" t="s">
        <v>361</v>
      </c>
      <c r="E61" s="482">
        <v>1</v>
      </c>
      <c r="F61" s="482">
        <v>11</v>
      </c>
      <c r="G61" s="482">
        <v>3</v>
      </c>
      <c r="H61" s="482">
        <f t="shared" si="2"/>
        <v>14</v>
      </c>
      <c r="I61" s="482">
        <v>3000</v>
      </c>
      <c r="J61" s="483"/>
    </row>
    <row r="62" spans="1:10" s="105" customFormat="1" ht="22.5" customHeight="1">
      <c r="A62" s="2034"/>
      <c r="B62" s="2073" t="s">
        <v>264</v>
      </c>
      <c r="C62" s="2074"/>
      <c r="D62" s="1099"/>
      <c r="E62" s="890" t="s">
        <v>869</v>
      </c>
      <c r="F62" s="482"/>
      <c r="G62" s="482"/>
      <c r="H62" s="482"/>
      <c r="I62" s="482"/>
      <c r="J62" s="483"/>
    </row>
    <row r="63" spans="1:10" s="105" customFormat="1" ht="22.5" customHeight="1">
      <c r="A63" s="2034"/>
      <c r="B63" s="2056" t="s">
        <v>53</v>
      </c>
      <c r="C63" s="2057"/>
      <c r="D63" s="1081"/>
      <c r="E63" s="890" t="s">
        <v>869</v>
      </c>
      <c r="F63" s="478"/>
      <c r="G63" s="478"/>
      <c r="H63" s="478"/>
      <c r="I63" s="478"/>
      <c r="J63" s="479"/>
    </row>
    <row r="64" spans="1:10" s="105" customFormat="1" ht="22.5" customHeight="1">
      <c r="A64" s="2034"/>
      <c r="B64" s="2081" t="s">
        <v>27</v>
      </c>
      <c r="C64" s="2081"/>
      <c r="D64" s="484"/>
      <c r="E64" s="890" t="s">
        <v>869</v>
      </c>
      <c r="F64" s="485"/>
      <c r="G64" s="485"/>
      <c r="H64" s="485"/>
      <c r="I64" s="485"/>
      <c r="J64" s="486"/>
    </row>
    <row r="65" spans="1:10" s="105" customFormat="1" ht="22.5" customHeight="1">
      <c r="A65" s="2034"/>
      <c r="B65" s="2082" t="s">
        <v>296</v>
      </c>
      <c r="C65" s="2082"/>
      <c r="D65" s="1081" t="s">
        <v>362</v>
      </c>
      <c r="E65" s="478">
        <v>1</v>
      </c>
      <c r="F65" s="478">
        <v>13</v>
      </c>
      <c r="G65" s="478">
        <v>2</v>
      </c>
      <c r="H65" s="478">
        <f aca="true" t="shared" si="3" ref="H65:H70">SUM(F65:G65)</f>
        <v>15</v>
      </c>
      <c r="I65" s="478">
        <v>10000</v>
      </c>
      <c r="J65" s="479"/>
    </row>
    <row r="66" spans="1:10" s="105" customFormat="1" ht="22.5" customHeight="1">
      <c r="A66" s="2034"/>
      <c r="B66" s="2081"/>
      <c r="C66" s="2081"/>
      <c r="D66" s="1081" t="s">
        <v>824</v>
      </c>
      <c r="E66" s="478">
        <v>1</v>
      </c>
      <c r="F66" s="478">
        <v>9</v>
      </c>
      <c r="G66" s="478"/>
      <c r="H66" s="625">
        <f t="shared" si="3"/>
        <v>9</v>
      </c>
      <c r="I66" s="478">
        <v>10000</v>
      </c>
      <c r="J66" s="479"/>
    </row>
    <row r="67" spans="1:10" s="105" customFormat="1" ht="22.5" customHeight="1">
      <c r="A67" s="2034"/>
      <c r="B67" s="2081" t="s">
        <v>118</v>
      </c>
      <c r="C67" s="2081"/>
      <c r="D67" s="1084" t="s">
        <v>826</v>
      </c>
      <c r="E67" s="562">
        <v>1</v>
      </c>
      <c r="F67" s="562">
        <v>17</v>
      </c>
      <c r="G67" s="562">
        <v>10</v>
      </c>
      <c r="H67" s="562">
        <f t="shared" si="3"/>
        <v>27</v>
      </c>
      <c r="I67" s="562">
        <v>3000</v>
      </c>
      <c r="J67" s="477">
        <v>113000</v>
      </c>
    </row>
    <row r="68" spans="1:10" s="105" customFormat="1" ht="22.5" customHeight="1">
      <c r="A68" s="2034"/>
      <c r="B68" s="2081"/>
      <c r="C68" s="2081"/>
      <c r="D68" s="1099" t="s">
        <v>625</v>
      </c>
      <c r="E68" s="482">
        <v>1</v>
      </c>
      <c r="F68" s="482">
        <v>32</v>
      </c>
      <c r="G68" s="482"/>
      <c r="H68" s="482">
        <f t="shared" si="3"/>
        <v>32</v>
      </c>
      <c r="I68" s="482">
        <v>1000</v>
      </c>
      <c r="J68" s="483"/>
    </row>
    <row r="69" spans="1:10" s="105" customFormat="1" ht="22.5" customHeight="1">
      <c r="A69" s="2034"/>
      <c r="B69" s="2077" t="s">
        <v>46</v>
      </c>
      <c r="C69" s="2078"/>
      <c r="D69" s="484" t="s">
        <v>363</v>
      </c>
      <c r="E69" s="1026">
        <v>1</v>
      </c>
      <c r="F69" s="1026">
        <v>13</v>
      </c>
      <c r="G69" s="1026"/>
      <c r="H69" s="1026">
        <f t="shared" si="3"/>
        <v>13</v>
      </c>
      <c r="I69" s="1026"/>
      <c r="J69" s="486"/>
    </row>
    <row r="70" spans="1:10" s="105" customFormat="1" ht="22.5" customHeight="1" thickBot="1">
      <c r="A70" s="2034"/>
      <c r="B70" s="2079"/>
      <c r="C70" s="2080"/>
      <c r="D70" s="1025" t="s">
        <v>1055</v>
      </c>
      <c r="E70" s="1023">
        <v>1</v>
      </c>
      <c r="F70" s="1023">
        <v>8</v>
      </c>
      <c r="G70" s="1023"/>
      <c r="H70" s="1023">
        <f t="shared" si="3"/>
        <v>8</v>
      </c>
      <c r="I70" s="1023"/>
      <c r="J70" s="1024"/>
    </row>
    <row r="71" spans="1:10" s="105" customFormat="1" ht="22.5" customHeight="1" thickBot="1" thickTop="1">
      <c r="A71" s="2035"/>
      <c r="B71" s="2062" t="s">
        <v>218</v>
      </c>
      <c r="C71" s="2063"/>
      <c r="D71" s="372"/>
      <c r="E71" s="373">
        <f>SUM(E53:E70)</f>
        <v>14</v>
      </c>
      <c r="F71" s="373">
        <f>SUM(F53:F70)</f>
        <v>299</v>
      </c>
      <c r="G71" s="373">
        <f>SUM(G53:G70)</f>
        <v>45</v>
      </c>
      <c r="H71" s="373">
        <f>SUM(H53:H70)</f>
        <v>344</v>
      </c>
      <c r="I71" s="376" t="s">
        <v>624</v>
      </c>
      <c r="J71" s="375">
        <f>SUM(J53:J70)</f>
        <v>293000</v>
      </c>
    </row>
    <row r="72" spans="1:10" s="105" customFormat="1" ht="7.5" customHeight="1">
      <c r="A72" s="377"/>
      <c r="B72" s="377"/>
      <c r="C72" s="377"/>
      <c r="D72" s="377"/>
      <c r="E72" s="377"/>
      <c r="F72" s="377"/>
      <c r="G72" s="377"/>
      <c r="H72" s="377"/>
      <c r="I72" s="377"/>
      <c r="J72" s="377"/>
    </row>
    <row r="73" spans="1:10" ht="13.5" customHeight="1">
      <c r="A73" s="237"/>
      <c r="B73" s="237" t="s">
        <v>707</v>
      </c>
      <c r="C73" s="237"/>
      <c r="D73" s="237"/>
      <c r="E73" s="237"/>
      <c r="F73" s="237"/>
      <c r="G73" s="237"/>
      <c r="H73" s="237"/>
      <c r="I73" s="237"/>
      <c r="J73" s="237"/>
    </row>
  </sheetData>
  <sheetProtection/>
  <mergeCells count="30">
    <mergeCell ref="B44:C45"/>
    <mergeCell ref="A3:C4"/>
    <mergeCell ref="D3:D4"/>
    <mergeCell ref="F3:H3"/>
    <mergeCell ref="A5:C5"/>
    <mergeCell ref="A6:A37"/>
    <mergeCell ref="B6:C6"/>
    <mergeCell ref="B7:C16"/>
    <mergeCell ref="B18:C31"/>
    <mergeCell ref="B17:C17"/>
    <mergeCell ref="B67:C68"/>
    <mergeCell ref="B63:C63"/>
    <mergeCell ref="B65:C66"/>
    <mergeCell ref="B64:C64"/>
    <mergeCell ref="B47:C48"/>
    <mergeCell ref="B32:C36"/>
    <mergeCell ref="B37:C37"/>
    <mergeCell ref="B38:C38"/>
    <mergeCell ref="B39:C43"/>
    <mergeCell ref="B46:C46"/>
    <mergeCell ref="B49:C51"/>
    <mergeCell ref="B52:C52"/>
    <mergeCell ref="A38:A52"/>
    <mergeCell ref="B71:C71"/>
    <mergeCell ref="A53:A71"/>
    <mergeCell ref="B53:C55"/>
    <mergeCell ref="B56:C56"/>
    <mergeCell ref="B57:C61"/>
    <mergeCell ref="B62:C62"/>
    <mergeCell ref="B69:C70"/>
  </mergeCells>
  <printOptions/>
  <pageMargins left="0.7086614173228347" right="0.1968503937007874" top="0.6692913385826772" bottom="0.1968503937007874" header="0.7874015748031497" footer="0.3937007874015748"/>
  <pageSetup firstPageNumber="33" useFirstPageNumber="1" horizontalDpi="600" verticalDpi="600" orientation="portrait" paperSize="9" scale="96" r:id="rId1"/>
  <headerFooter scaleWithDoc="0" alignWithMargins="0">
    <oddFooter>&amp;C&amp;12&amp;P</oddFooter>
  </headerFooter>
  <rowBreaks count="1" manualBreakCount="1">
    <brk id="37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120" zoomScaleNormal="115" zoomScaleSheetLayoutView="120" zoomScalePageLayoutView="0" workbookViewId="0" topLeftCell="A1">
      <pane xSplit="2" ySplit="4" topLeftCell="C5" activePane="bottomRight" state="frozen"/>
      <selection pane="topLeft" activeCell="N6" sqref="N6"/>
      <selection pane="topRight" activeCell="N6" sqref="N6"/>
      <selection pane="bottomLeft" activeCell="N6" sqref="N6"/>
      <selection pane="bottomRight" activeCell="N6" sqref="N6"/>
    </sheetView>
  </sheetViews>
  <sheetFormatPr defaultColWidth="9.00390625" defaultRowHeight="13.5"/>
  <cols>
    <col min="1" max="1" width="3.125" style="42" customWidth="1"/>
    <col min="2" max="2" width="11.125" style="42" customWidth="1"/>
    <col min="3" max="3" width="7.625" style="42" customWidth="1"/>
    <col min="4" max="4" width="9.125" style="42" customWidth="1"/>
    <col min="5" max="6" width="8.625" style="42" customWidth="1"/>
    <col min="7" max="7" width="9.00390625" style="42" customWidth="1"/>
    <col min="8" max="8" width="43.00390625" style="42" customWidth="1"/>
    <col min="9" max="16384" width="9.00390625" style="42" customWidth="1"/>
  </cols>
  <sheetData>
    <row r="1" spans="1:13" ht="34.5" customHeight="1" thickBot="1">
      <c r="A1" s="2119" t="s">
        <v>740</v>
      </c>
      <c r="B1" s="2119"/>
      <c r="C1" s="2119"/>
      <c r="D1" s="2119"/>
      <c r="E1" s="2119"/>
      <c r="F1" s="2119"/>
      <c r="G1" s="2119"/>
      <c r="H1" s="2119"/>
      <c r="I1" s="55"/>
      <c r="J1" s="55"/>
      <c r="K1" s="55"/>
      <c r="L1" s="55"/>
      <c r="M1" s="55"/>
    </row>
    <row r="2" spans="1:13" ht="28.5" customHeight="1">
      <c r="A2" s="2122" t="s">
        <v>210</v>
      </c>
      <c r="B2" s="2123"/>
      <c r="C2" s="2120" t="s">
        <v>211</v>
      </c>
      <c r="D2" s="2120" t="s">
        <v>765</v>
      </c>
      <c r="E2" s="2129" t="s">
        <v>763</v>
      </c>
      <c r="F2" s="2130"/>
      <c r="G2" s="2131" t="s">
        <v>212</v>
      </c>
      <c r="H2" s="2133" t="s">
        <v>213</v>
      </c>
      <c r="I2" s="82"/>
      <c r="J2" s="82"/>
      <c r="K2" s="82"/>
      <c r="L2" s="82"/>
      <c r="M2" s="82"/>
    </row>
    <row r="3" spans="1:13" ht="28.5" customHeight="1" thickBot="1">
      <c r="A3" s="2124"/>
      <c r="B3" s="2125"/>
      <c r="C3" s="2121"/>
      <c r="D3" s="2121"/>
      <c r="E3" s="378" t="s">
        <v>214</v>
      </c>
      <c r="F3" s="379" t="s">
        <v>215</v>
      </c>
      <c r="G3" s="2132"/>
      <c r="H3" s="2134"/>
      <c r="I3" s="82"/>
      <c r="J3" s="82"/>
      <c r="K3" s="82"/>
      <c r="L3" s="82"/>
      <c r="M3" s="82"/>
    </row>
    <row r="4" spans="1:13" ht="27.75" customHeight="1" thickBot="1">
      <c r="A4" s="2126" t="s">
        <v>194</v>
      </c>
      <c r="B4" s="2127"/>
      <c r="C4" s="753">
        <f>SUM(C10,C17,C27)</f>
        <v>72</v>
      </c>
      <c r="D4" s="753">
        <f>SUM(D10,D17,D27)</f>
        <v>5285</v>
      </c>
      <c r="E4" s="754">
        <v>0</v>
      </c>
      <c r="F4" s="754">
        <v>1500</v>
      </c>
      <c r="G4" s="754">
        <f>G10+G17+G27</f>
        <v>10558</v>
      </c>
      <c r="H4" s="380"/>
      <c r="I4" s="82"/>
      <c r="J4" s="82"/>
      <c r="K4" s="82"/>
      <c r="L4" s="82"/>
      <c r="M4" s="82"/>
    </row>
    <row r="5" spans="1:13" ht="27.75" customHeight="1">
      <c r="A5" s="2116" t="s">
        <v>216</v>
      </c>
      <c r="B5" s="461" t="s">
        <v>93</v>
      </c>
      <c r="C5" s="755" t="s">
        <v>217</v>
      </c>
      <c r="D5" s="742"/>
      <c r="E5" s="743"/>
      <c r="F5" s="743"/>
      <c r="G5" s="743"/>
      <c r="H5" s="462"/>
      <c r="I5" s="83"/>
      <c r="J5" s="83"/>
      <c r="K5" s="83"/>
      <c r="L5" s="82"/>
      <c r="M5" s="82"/>
    </row>
    <row r="6" spans="1:13" ht="27.75" customHeight="1">
      <c r="A6" s="2117"/>
      <c r="B6" s="463" t="s">
        <v>97</v>
      </c>
      <c r="C6" s="744">
        <v>7</v>
      </c>
      <c r="D6" s="744">
        <v>1257</v>
      </c>
      <c r="E6" s="745">
        <v>300</v>
      </c>
      <c r="F6" s="745">
        <v>500</v>
      </c>
      <c r="G6" s="745">
        <v>518</v>
      </c>
      <c r="H6" s="464" t="s">
        <v>755</v>
      </c>
      <c r="I6" s="83"/>
      <c r="J6" s="83"/>
      <c r="K6" s="83"/>
      <c r="L6" s="82"/>
      <c r="M6" s="82"/>
    </row>
    <row r="7" spans="1:13" ht="27.75" customHeight="1">
      <c r="A7" s="2117"/>
      <c r="B7" s="463" t="s">
        <v>39</v>
      </c>
      <c r="C7" s="744">
        <v>5</v>
      </c>
      <c r="D7" s="744">
        <v>594</v>
      </c>
      <c r="E7" s="745">
        <v>0</v>
      </c>
      <c r="F7" s="745">
        <v>1000</v>
      </c>
      <c r="G7" s="745">
        <v>800</v>
      </c>
      <c r="H7" s="464" t="s">
        <v>984</v>
      </c>
      <c r="I7" s="83"/>
      <c r="J7" s="83"/>
      <c r="K7" s="83"/>
      <c r="L7" s="82"/>
      <c r="M7" s="82"/>
    </row>
    <row r="8" spans="1:13" ht="27.75" customHeight="1">
      <c r="A8" s="2117"/>
      <c r="B8" s="465" t="s">
        <v>100</v>
      </c>
      <c r="C8" s="746">
        <v>15</v>
      </c>
      <c r="D8" s="746">
        <v>1351</v>
      </c>
      <c r="E8" s="747">
        <v>0</v>
      </c>
      <c r="F8" s="747">
        <v>1000</v>
      </c>
      <c r="G8" s="747">
        <v>2297</v>
      </c>
      <c r="H8" s="466" t="s">
        <v>727</v>
      </c>
      <c r="I8" s="83"/>
      <c r="J8" s="83"/>
      <c r="K8" s="83"/>
      <c r="L8" s="82"/>
      <c r="M8" s="82"/>
    </row>
    <row r="9" spans="1:13" ht="27.75" customHeight="1" thickBot="1">
      <c r="A9" s="2117"/>
      <c r="B9" s="1042" t="s">
        <v>101</v>
      </c>
      <c r="C9" s="1032" t="s">
        <v>217</v>
      </c>
      <c r="D9" s="1029"/>
      <c r="E9" s="1030"/>
      <c r="F9" s="1030"/>
      <c r="G9" s="1030"/>
      <c r="H9" s="1031"/>
      <c r="I9" s="83"/>
      <c r="J9" s="83"/>
      <c r="K9" s="83"/>
      <c r="L9" s="82"/>
      <c r="M9" s="82"/>
    </row>
    <row r="10" spans="1:13" ht="27.75" customHeight="1" thickBot="1" thickTop="1">
      <c r="A10" s="2118"/>
      <c r="B10" s="381" t="s">
        <v>218</v>
      </c>
      <c r="C10" s="756">
        <f>SUM(C5:C9)</f>
        <v>27</v>
      </c>
      <c r="D10" s="756">
        <f>SUM(D5:D9)</f>
        <v>3202</v>
      </c>
      <c r="E10" s="757">
        <v>0</v>
      </c>
      <c r="F10" s="757">
        <v>1000</v>
      </c>
      <c r="G10" s="757">
        <f>SUM(G5:G9)</f>
        <v>3615</v>
      </c>
      <c r="H10" s="382"/>
      <c r="I10" s="83"/>
      <c r="J10" s="83"/>
      <c r="K10" s="83"/>
      <c r="L10" s="82"/>
      <c r="M10" s="82"/>
    </row>
    <row r="11" spans="1:13" ht="27.75" customHeight="1">
      <c r="A11" s="2114" t="s">
        <v>197</v>
      </c>
      <c r="B11" s="465" t="s">
        <v>103</v>
      </c>
      <c r="C11" s="746">
        <v>1</v>
      </c>
      <c r="D11" s="758">
        <v>5</v>
      </c>
      <c r="E11" s="759">
        <v>0</v>
      </c>
      <c r="F11" s="704">
        <v>0</v>
      </c>
      <c r="G11" s="698">
        <v>0</v>
      </c>
      <c r="H11" s="466" t="s">
        <v>729</v>
      </c>
      <c r="I11" s="83"/>
      <c r="J11" s="83"/>
      <c r="K11" s="83"/>
      <c r="L11" s="82"/>
      <c r="M11" s="82"/>
    </row>
    <row r="12" spans="1:13" ht="27.75" customHeight="1">
      <c r="A12" s="1638"/>
      <c r="B12" s="463" t="s">
        <v>104</v>
      </c>
      <c r="C12" s="760">
        <v>3</v>
      </c>
      <c r="D12" s="760">
        <v>155</v>
      </c>
      <c r="E12" s="761">
        <v>500</v>
      </c>
      <c r="F12" s="700">
        <v>500</v>
      </c>
      <c r="G12" s="700">
        <v>0</v>
      </c>
      <c r="H12" s="464" t="s">
        <v>730</v>
      </c>
      <c r="I12" s="83"/>
      <c r="J12" s="83"/>
      <c r="K12" s="83"/>
      <c r="L12" s="82"/>
      <c r="M12" s="82"/>
    </row>
    <row r="13" spans="1:13" ht="27.75" customHeight="1">
      <c r="A13" s="1638"/>
      <c r="B13" s="463" t="s">
        <v>105</v>
      </c>
      <c r="C13" s="760">
        <v>1</v>
      </c>
      <c r="D13" s="760">
        <v>176</v>
      </c>
      <c r="E13" s="761">
        <v>0</v>
      </c>
      <c r="F13" s="700">
        <v>500</v>
      </c>
      <c r="G13" s="700">
        <v>737</v>
      </c>
      <c r="H13" s="464" t="s">
        <v>728</v>
      </c>
      <c r="I13" s="83"/>
      <c r="J13" s="83"/>
      <c r="K13" s="83"/>
      <c r="L13" s="82"/>
      <c r="M13" s="82"/>
    </row>
    <row r="14" spans="1:13" ht="27.75" customHeight="1">
      <c r="A14" s="1638"/>
      <c r="B14" s="463" t="s">
        <v>42</v>
      </c>
      <c r="C14" s="760">
        <v>2</v>
      </c>
      <c r="D14" s="760">
        <v>191</v>
      </c>
      <c r="E14" s="761">
        <v>0</v>
      </c>
      <c r="F14" s="700">
        <v>0</v>
      </c>
      <c r="G14" s="700">
        <v>500</v>
      </c>
      <c r="H14" s="464" t="s">
        <v>731</v>
      </c>
      <c r="I14" s="1063"/>
      <c r="J14" s="83"/>
      <c r="K14" s="83"/>
      <c r="L14" s="82"/>
      <c r="M14" s="82"/>
    </row>
    <row r="15" spans="1:13" ht="27.75" customHeight="1">
      <c r="A15" s="1638"/>
      <c r="B15" s="463" t="s">
        <v>108</v>
      </c>
      <c r="C15" s="755" t="s">
        <v>217</v>
      </c>
      <c r="D15" s="760"/>
      <c r="E15" s="761"/>
      <c r="F15" s="700"/>
      <c r="G15" s="700"/>
      <c r="H15" s="464"/>
      <c r="I15" s="83"/>
      <c r="J15" s="83"/>
      <c r="K15" s="83"/>
      <c r="L15" s="82"/>
      <c r="M15" s="82"/>
    </row>
    <row r="16" spans="1:13" ht="27.75" customHeight="1" thickBot="1">
      <c r="A16" s="1638"/>
      <c r="B16" s="1042" t="s">
        <v>109</v>
      </c>
      <c r="C16" s="1032" t="s">
        <v>217</v>
      </c>
      <c r="D16" s="1043"/>
      <c r="E16" s="926"/>
      <c r="F16" s="926"/>
      <c r="G16" s="926"/>
      <c r="H16" s="1031"/>
      <c r="I16" s="83"/>
      <c r="J16" s="83"/>
      <c r="K16" s="83"/>
      <c r="L16" s="82"/>
      <c r="M16" s="82"/>
    </row>
    <row r="17" spans="1:13" ht="27.75" customHeight="1" thickBot="1" thickTop="1">
      <c r="A17" s="2115"/>
      <c r="B17" s="381" t="s">
        <v>218</v>
      </c>
      <c r="C17" s="756">
        <f>SUM(C11:C16)</f>
        <v>7</v>
      </c>
      <c r="D17" s="756">
        <f>SUM(D11:D16)</f>
        <v>527</v>
      </c>
      <c r="E17" s="757">
        <v>0</v>
      </c>
      <c r="F17" s="757">
        <v>500</v>
      </c>
      <c r="G17" s="757">
        <f>SUM(G11:G16)</f>
        <v>1237</v>
      </c>
      <c r="H17" s="382"/>
      <c r="I17" s="83"/>
      <c r="J17" s="83"/>
      <c r="K17" s="83"/>
      <c r="L17" s="82"/>
      <c r="M17" s="82"/>
    </row>
    <row r="18" spans="1:13" s="63" customFormat="1" ht="27.75" customHeight="1">
      <c r="A18" s="2116" t="s">
        <v>198</v>
      </c>
      <c r="B18" s="468" t="s">
        <v>111</v>
      </c>
      <c r="C18" s="762">
        <v>3</v>
      </c>
      <c r="D18" s="762">
        <v>234</v>
      </c>
      <c r="E18" s="704">
        <v>500</v>
      </c>
      <c r="F18" s="704">
        <v>600</v>
      </c>
      <c r="G18" s="704">
        <v>849</v>
      </c>
      <c r="H18" s="462" t="s">
        <v>985</v>
      </c>
      <c r="I18" s="83"/>
      <c r="J18" s="83"/>
      <c r="K18" s="83"/>
      <c r="L18" s="83"/>
      <c r="M18" s="83"/>
    </row>
    <row r="19" spans="1:13" s="63" customFormat="1" ht="27.75" customHeight="1">
      <c r="A19" s="2117"/>
      <c r="B19" s="463" t="s">
        <v>112</v>
      </c>
      <c r="C19" s="760">
        <v>7</v>
      </c>
      <c r="D19" s="760">
        <v>478</v>
      </c>
      <c r="E19" s="761">
        <v>500</v>
      </c>
      <c r="F19" s="700">
        <v>1000</v>
      </c>
      <c r="G19" s="700">
        <v>862</v>
      </c>
      <c r="H19" s="466" t="s">
        <v>771</v>
      </c>
      <c r="I19" s="83"/>
      <c r="J19" s="83"/>
      <c r="K19" s="83"/>
      <c r="L19" s="83"/>
      <c r="M19" s="83"/>
    </row>
    <row r="20" spans="1:13" s="63" customFormat="1" ht="27.75" customHeight="1">
      <c r="A20" s="2117"/>
      <c r="B20" s="463" t="s">
        <v>113</v>
      </c>
      <c r="C20" s="760">
        <v>13</v>
      </c>
      <c r="D20" s="760">
        <v>370</v>
      </c>
      <c r="E20" s="761">
        <v>0</v>
      </c>
      <c r="F20" s="700">
        <v>1500</v>
      </c>
      <c r="G20" s="700">
        <v>1800</v>
      </c>
      <c r="H20" s="464" t="s">
        <v>219</v>
      </c>
      <c r="I20" s="83"/>
      <c r="J20" s="83"/>
      <c r="K20" s="83"/>
      <c r="L20" s="83"/>
      <c r="M20" s="83"/>
    </row>
    <row r="21" spans="1:13" s="63" customFormat="1" ht="27.75" customHeight="1">
      <c r="A21" s="2117"/>
      <c r="B21" s="463" t="s">
        <v>115</v>
      </c>
      <c r="C21" s="755" t="s">
        <v>217</v>
      </c>
      <c r="D21" s="760"/>
      <c r="E21" s="761"/>
      <c r="F21" s="700"/>
      <c r="G21" s="700"/>
      <c r="H21" s="464"/>
      <c r="I21" s="83"/>
      <c r="J21" s="83"/>
      <c r="K21" s="83"/>
      <c r="L21" s="83"/>
      <c r="M21" s="83"/>
    </row>
    <row r="22" spans="1:13" s="63" customFormat="1" ht="27.75" customHeight="1">
      <c r="A22" s="2117"/>
      <c r="B22" s="463" t="s">
        <v>116</v>
      </c>
      <c r="C22" s="755" t="s">
        <v>217</v>
      </c>
      <c r="D22" s="760"/>
      <c r="E22" s="761"/>
      <c r="F22" s="700"/>
      <c r="G22" s="700"/>
      <c r="H22" s="464"/>
      <c r="I22" s="83"/>
      <c r="J22" s="83"/>
      <c r="K22" s="83"/>
      <c r="L22" s="83"/>
      <c r="M22" s="83"/>
    </row>
    <row r="23" spans="1:13" s="63" customFormat="1" ht="27.75" customHeight="1">
      <c r="A23" s="2117"/>
      <c r="B23" s="465" t="s">
        <v>117</v>
      </c>
      <c r="C23" s="758">
        <v>2</v>
      </c>
      <c r="D23" s="758">
        <v>125</v>
      </c>
      <c r="E23" s="759">
        <v>500</v>
      </c>
      <c r="F23" s="698">
        <v>800</v>
      </c>
      <c r="G23" s="698">
        <v>720</v>
      </c>
      <c r="H23" s="466" t="s">
        <v>845</v>
      </c>
      <c r="I23" s="83"/>
      <c r="J23" s="83"/>
      <c r="K23" s="83"/>
      <c r="L23" s="83"/>
      <c r="M23" s="83"/>
    </row>
    <row r="24" spans="1:13" s="63" customFormat="1" ht="27.75" customHeight="1">
      <c r="A24" s="2117"/>
      <c r="B24" s="463" t="s">
        <v>54</v>
      </c>
      <c r="C24" s="755" t="s">
        <v>217</v>
      </c>
      <c r="D24" s="760"/>
      <c r="E24" s="761"/>
      <c r="F24" s="700"/>
      <c r="G24" s="700"/>
      <c r="H24" s="464"/>
      <c r="I24" s="83"/>
      <c r="J24" s="83"/>
      <c r="K24" s="83"/>
      <c r="L24" s="83"/>
      <c r="M24" s="83"/>
    </row>
    <row r="25" spans="1:13" s="63" customFormat="1" ht="27.75" customHeight="1">
      <c r="A25" s="2117"/>
      <c r="B25" s="463" t="s">
        <v>118</v>
      </c>
      <c r="C25" s="744">
        <v>4</v>
      </c>
      <c r="D25" s="760">
        <v>71</v>
      </c>
      <c r="E25" s="761">
        <v>0</v>
      </c>
      <c r="F25" s="700">
        <v>200</v>
      </c>
      <c r="G25" s="700">
        <v>175</v>
      </c>
      <c r="H25" s="464" t="s">
        <v>735</v>
      </c>
      <c r="I25" s="83"/>
      <c r="J25" s="83"/>
      <c r="K25" s="83"/>
      <c r="L25" s="83"/>
      <c r="M25" s="83"/>
    </row>
    <row r="26" spans="1:13" s="63" customFormat="1" ht="27.75" customHeight="1" thickBot="1">
      <c r="A26" s="2117"/>
      <c r="B26" s="1042" t="s">
        <v>120</v>
      </c>
      <c r="C26" s="1043">
        <v>9</v>
      </c>
      <c r="D26" s="1043">
        <v>278</v>
      </c>
      <c r="E26" s="1044">
        <v>500</v>
      </c>
      <c r="F26" s="926">
        <v>1000</v>
      </c>
      <c r="G26" s="926">
        <v>1300</v>
      </c>
      <c r="H26" s="1031" t="s">
        <v>754</v>
      </c>
      <c r="I26" s="83"/>
      <c r="J26" s="83"/>
      <c r="K26" s="83"/>
      <c r="L26" s="83"/>
      <c r="M26" s="83"/>
    </row>
    <row r="27" spans="1:13" s="63" customFormat="1" ht="27.75" customHeight="1" thickBot="1" thickTop="1">
      <c r="A27" s="2118"/>
      <c r="B27" s="381" t="s">
        <v>218</v>
      </c>
      <c r="C27" s="756">
        <f>SUM(C18:C26)</f>
        <v>38</v>
      </c>
      <c r="D27" s="756">
        <f>SUM(D18:D26)</f>
        <v>1556</v>
      </c>
      <c r="E27" s="763">
        <v>0</v>
      </c>
      <c r="F27" s="757">
        <v>1500</v>
      </c>
      <c r="G27" s="757">
        <f>SUM(G18:G26)</f>
        <v>5706</v>
      </c>
      <c r="H27" s="382"/>
      <c r="I27" s="83"/>
      <c r="J27" s="83"/>
      <c r="K27" s="83"/>
      <c r="L27" s="83"/>
      <c r="M27" s="83"/>
    </row>
    <row r="28" spans="1:13" s="63" customFormat="1" ht="27.75" customHeight="1">
      <c r="A28" s="1060"/>
      <c r="B28" s="383"/>
      <c r="C28" s="384"/>
      <c r="D28" s="384"/>
      <c r="E28" s="384"/>
      <c r="F28" s="384"/>
      <c r="G28" s="384"/>
      <c r="H28" s="385"/>
      <c r="I28" s="83"/>
      <c r="J28" s="83"/>
      <c r="K28" s="83"/>
      <c r="L28" s="83"/>
      <c r="M28" s="83"/>
    </row>
    <row r="29" spans="1:13" ht="36" customHeight="1" thickBot="1">
      <c r="A29" s="2119" t="s">
        <v>741</v>
      </c>
      <c r="B29" s="2119"/>
      <c r="C29" s="2119"/>
      <c r="D29" s="2119"/>
      <c r="E29" s="2119"/>
      <c r="F29" s="2119"/>
      <c r="G29" s="2119"/>
      <c r="H29" s="2119"/>
      <c r="I29" s="84"/>
      <c r="J29" s="84"/>
      <c r="K29" s="84"/>
      <c r="L29" s="84"/>
      <c r="M29" s="84"/>
    </row>
    <row r="30" spans="1:13" ht="28.5" customHeight="1">
      <c r="A30" s="2122" t="s">
        <v>220</v>
      </c>
      <c r="B30" s="2123"/>
      <c r="C30" s="2120" t="s">
        <v>211</v>
      </c>
      <c r="D30" s="2120" t="s">
        <v>765</v>
      </c>
      <c r="E30" s="2129" t="s">
        <v>763</v>
      </c>
      <c r="F30" s="2130"/>
      <c r="G30" s="2131" t="s">
        <v>212</v>
      </c>
      <c r="H30" s="2133" t="s">
        <v>213</v>
      </c>
      <c r="I30" s="82"/>
      <c r="J30" s="82"/>
      <c r="K30" s="82"/>
      <c r="L30" s="82"/>
      <c r="M30" s="82"/>
    </row>
    <row r="31" spans="1:13" ht="28.5" customHeight="1" thickBot="1">
      <c r="A31" s="2124"/>
      <c r="B31" s="2125"/>
      <c r="C31" s="2121"/>
      <c r="D31" s="2121"/>
      <c r="E31" s="378" t="s">
        <v>214</v>
      </c>
      <c r="F31" s="379" t="s">
        <v>215</v>
      </c>
      <c r="G31" s="2132"/>
      <c r="H31" s="2134"/>
      <c r="I31" s="82"/>
      <c r="J31" s="82"/>
      <c r="K31" s="82"/>
      <c r="L31" s="82"/>
      <c r="M31" s="82"/>
    </row>
    <row r="32" spans="1:13" ht="27.75" customHeight="1" thickBot="1">
      <c r="A32" s="2126" t="s">
        <v>194</v>
      </c>
      <c r="B32" s="2127"/>
      <c r="C32" s="740">
        <f>SUM(C38,C45,C55)</f>
        <v>147</v>
      </c>
      <c r="D32" s="740">
        <f>SUM(D38,D45,D55)</f>
        <v>15158</v>
      </c>
      <c r="E32" s="741">
        <v>0</v>
      </c>
      <c r="F32" s="741">
        <v>4000</v>
      </c>
      <c r="G32" s="740">
        <f>SUM(G38,G45,G55)</f>
        <v>1887</v>
      </c>
      <c r="H32" s="386"/>
      <c r="I32" s="82"/>
      <c r="J32" s="82"/>
      <c r="K32" s="82"/>
      <c r="L32" s="82"/>
      <c r="M32" s="82"/>
    </row>
    <row r="33" spans="1:13" ht="27.75" customHeight="1">
      <c r="A33" s="2128" t="s">
        <v>216</v>
      </c>
      <c r="B33" s="461" t="s">
        <v>93</v>
      </c>
      <c r="C33" s="742">
        <v>28</v>
      </c>
      <c r="D33" s="742">
        <v>375</v>
      </c>
      <c r="E33" s="743">
        <v>0</v>
      </c>
      <c r="F33" s="743">
        <v>0</v>
      </c>
      <c r="G33" s="743">
        <v>0</v>
      </c>
      <c r="H33" s="462" t="s">
        <v>830</v>
      </c>
      <c r="I33" s="83"/>
      <c r="J33" s="83"/>
      <c r="K33" s="83"/>
      <c r="L33" s="82"/>
      <c r="M33" s="82"/>
    </row>
    <row r="34" spans="1:13" ht="27.75" customHeight="1">
      <c r="A34" s="1394"/>
      <c r="B34" s="463" t="s">
        <v>97</v>
      </c>
      <c r="C34" s="744">
        <v>14</v>
      </c>
      <c r="D34" s="744">
        <v>5879</v>
      </c>
      <c r="E34" s="745">
        <v>0</v>
      </c>
      <c r="F34" s="745">
        <v>500</v>
      </c>
      <c r="G34" s="745">
        <v>0</v>
      </c>
      <c r="H34" s="464" t="s">
        <v>221</v>
      </c>
      <c r="I34" s="209"/>
      <c r="J34" s="83"/>
      <c r="K34" s="83"/>
      <c r="L34" s="82"/>
      <c r="M34" s="82"/>
    </row>
    <row r="35" spans="1:13" ht="27.75" customHeight="1">
      <c r="A35" s="1394"/>
      <c r="B35" s="463" t="s">
        <v>39</v>
      </c>
      <c r="C35" s="744">
        <v>8</v>
      </c>
      <c r="D35" s="744">
        <v>1265</v>
      </c>
      <c r="E35" s="745">
        <v>0</v>
      </c>
      <c r="F35" s="745">
        <v>1500</v>
      </c>
      <c r="G35" s="745">
        <v>0</v>
      </c>
      <c r="H35" s="464" t="s">
        <v>981</v>
      </c>
      <c r="I35" s="210"/>
      <c r="J35" s="83"/>
      <c r="K35" s="83"/>
      <c r="L35" s="82"/>
      <c r="M35" s="82"/>
    </row>
    <row r="36" spans="1:13" ht="27.75" customHeight="1">
      <c r="A36" s="1394"/>
      <c r="B36" s="465" t="s">
        <v>100</v>
      </c>
      <c r="C36" s="746">
        <v>4</v>
      </c>
      <c r="D36" s="746">
        <v>180</v>
      </c>
      <c r="E36" s="747">
        <v>100</v>
      </c>
      <c r="F36" s="747">
        <v>500</v>
      </c>
      <c r="G36" s="747">
        <v>416</v>
      </c>
      <c r="H36" s="575" t="s">
        <v>783</v>
      </c>
      <c r="I36" s="209"/>
      <c r="J36" s="83"/>
      <c r="K36" s="83"/>
      <c r="L36" s="82"/>
      <c r="M36" s="82"/>
    </row>
    <row r="37" spans="1:13" ht="27.75" customHeight="1" thickBot="1">
      <c r="A37" s="1394"/>
      <c r="B37" s="1042" t="s">
        <v>101</v>
      </c>
      <c r="C37" s="1029">
        <v>5</v>
      </c>
      <c r="D37" s="1029">
        <v>648</v>
      </c>
      <c r="E37" s="1030">
        <v>300</v>
      </c>
      <c r="F37" s="1030">
        <v>1000</v>
      </c>
      <c r="G37" s="1030">
        <v>699</v>
      </c>
      <c r="H37" s="1031" t="s">
        <v>793</v>
      </c>
      <c r="I37" s="209"/>
      <c r="J37" s="83"/>
      <c r="K37" s="83"/>
      <c r="L37" s="82"/>
      <c r="M37" s="82"/>
    </row>
    <row r="38" spans="1:13" ht="27.75" customHeight="1" thickBot="1" thickTop="1">
      <c r="A38" s="1890"/>
      <c r="B38" s="441" t="s">
        <v>196</v>
      </c>
      <c r="C38" s="748">
        <f>SUM(C33:C37)</f>
        <v>59</v>
      </c>
      <c r="D38" s="748">
        <f>SUM(D33:D37)</f>
        <v>8347</v>
      </c>
      <c r="E38" s="749">
        <v>0</v>
      </c>
      <c r="F38" s="749">
        <v>1500</v>
      </c>
      <c r="G38" s="748">
        <f>SUM(G33:G37)</f>
        <v>1115</v>
      </c>
      <c r="H38" s="467"/>
      <c r="I38" s="209"/>
      <c r="J38" s="83"/>
      <c r="K38" s="83"/>
      <c r="L38" s="82"/>
      <c r="M38" s="82"/>
    </row>
    <row r="39" spans="1:13" ht="27.75" customHeight="1">
      <c r="A39" s="2128" t="s">
        <v>197</v>
      </c>
      <c r="B39" s="465" t="s">
        <v>103</v>
      </c>
      <c r="C39" s="746">
        <v>12</v>
      </c>
      <c r="D39" s="746">
        <v>1779</v>
      </c>
      <c r="E39" s="747">
        <v>0</v>
      </c>
      <c r="F39" s="747">
        <v>4000</v>
      </c>
      <c r="G39" s="747">
        <v>130</v>
      </c>
      <c r="H39" s="466" t="s">
        <v>827</v>
      </c>
      <c r="I39" s="1027"/>
      <c r="J39" s="83"/>
      <c r="K39" s="83"/>
      <c r="L39" s="82"/>
      <c r="M39" s="82"/>
    </row>
    <row r="40" spans="1:13" ht="27.75" customHeight="1">
      <c r="A40" s="1394"/>
      <c r="B40" s="463" t="s">
        <v>104</v>
      </c>
      <c r="C40" s="760">
        <v>3</v>
      </c>
      <c r="D40" s="744">
        <v>213</v>
      </c>
      <c r="E40" s="745">
        <v>100</v>
      </c>
      <c r="F40" s="745">
        <v>500</v>
      </c>
      <c r="G40" s="745">
        <v>216</v>
      </c>
      <c r="H40" s="464" t="s">
        <v>980</v>
      </c>
      <c r="I40" s="209"/>
      <c r="J40" s="83"/>
      <c r="K40" s="83"/>
      <c r="L40" s="82"/>
      <c r="M40" s="82"/>
    </row>
    <row r="41" spans="1:13" ht="27.75" customHeight="1">
      <c r="A41" s="1394"/>
      <c r="B41" s="463" t="s">
        <v>105</v>
      </c>
      <c r="C41" s="755" t="s">
        <v>217</v>
      </c>
      <c r="D41" s="744"/>
      <c r="E41" s="745"/>
      <c r="F41" s="745"/>
      <c r="G41" s="745"/>
      <c r="H41" s="464"/>
      <c r="I41" s="209"/>
      <c r="J41" s="83"/>
      <c r="K41" s="83"/>
      <c r="L41" s="82"/>
      <c r="M41" s="82"/>
    </row>
    <row r="42" spans="1:13" ht="27.75" customHeight="1">
      <c r="A42" s="1394"/>
      <c r="B42" s="463" t="s">
        <v>42</v>
      </c>
      <c r="C42" s="744">
        <v>1</v>
      </c>
      <c r="D42" s="744">
        <v>15</v>
      </c>
      <c r="E42" s="750">
        <v>0</v>
      </c>
      <c r="F42" s="745">
        <v>0</v>
      </c>
      <c r="G42" s="745">
        <v>0</v>
      </c>
      <c r="H42" s="464" t="s">
        <v>838</v>
      </c>
      <c r="I42" s="209"/>
      <c r="J42" s="83"/>
      <c r="K42" s="83"/>
      <c r="L42" s="82"/>
      <c r="M42" s="82"/>
    </row>
    <row r="43" spans="1:13" ht="27.75" customHeight="1">
      <c r="A43" s="1394"/>
      <c r="B43" s="463" t="s">
        <v>108</v>
      </c>
      <c r="C43" s="744">
        <v>1</v>
      </c>
      <c r="D43" s="744">
        <v>70</v>
      </c>
      <c r="E43" s="745">
        <v>700</v>
      </c>
      <c r="F43" s="745">
        <v>700</v>
      </c>
      <c r="G43" s="745">
        <v>400</v>
      </c>
      <c r="H43" s="464" t="s">
        <v>840</v>
      </c>
      <c r="I43" s="209"/>
      <c r="J43" s="83"/>
      <c r="K43" s="83"/>
      <c r="L43" s="82"/>
      <c r="M43" s="82"/>
    </row>
    <row r="44" spans="1:13" ht="27.75" customHeight="1" thickBot="1">
      <c r="A44" s="1394"/>
      <c r="B44" s="1042" t="s">
        <v>109</v>
      </c>
      <c r="C44" s="1032" t="s">
        <v>217</v>
      </c>
      <c r="D44" s="1029"/>
      <c r="E44" s="1030"/>
      <c r="F44" s="1030"/>
      <c r="G44" s="1030"/>
      <c r="H44" s="1031"/>
      <c r="I44" s="209"/>
      <c r="J44" s="83"/>
      <c r="K44" s="83"/>
      <c r="L44" s="82"/>
      <c r="M44" s="82"/>
    </row>
    <row r="45" spans="1:13" ht="27.75" customHeight="1" thickBot="1" thickTop="1">
      <c r="A45" s="1890"/>
      <c r="B45" s="441" t="s">
        <v>218</v>
      </c>
      <c r="C45" s="748">
        <f>SUM(C39:C44)</f>
        <v>17</v>
      </c>
      <c r="D45" s="748">
        <f>SUM(D39:D44)</f>
        <v>2077</v>
      </c>
      <c r="E45" s="749">
        <v>0</v>
      </c>
      <c r="F45" s="749">
        <v>4000</v>
      </c>
      <c r="G45" s="748">
        <f>SUM(G39:G44)</f>
        <v>746</v>
      </c>
      <c r="H45" s="467"/>
      <c r="I45" s="209"/>
      <c r="J45" s="83"/>
      <c r="K45" s="83"/>
      <c r="L45" s="82"/>
      <c r="M45" s="82"/>
    </row>
    <row r="46" spans="1:13" s="63" customFormat="1" ht="27.75" customHeight="1">
      <c r="A46" s="2128" t="s">
        <v>198</v>
      </c>
      <c r="B46" s="468" t="s">
        <v>111</v>
      </c>
      <c r="C46" s="755" t="s">
        <v>217</v>
      </c>
      <c r="D46" s="742"/>
      <c r="E46" s="743"/>
      <c r="F46" s="743"/>
      <c r="G46" s="743"/>
      <c r="H46" s="462"/>
      <c r="I46" s="209"/>
      <c r="J46" s="83"/>
      <c r="K46" s="83"/>
      <c r="L46" s="83"/>
      <c r="M46" s="83"/>
    </row>
    <row r="47" spans="1:13" s="63" customFormat="1" ht="27.75" customHeight="1">
      <c r="A47" s="1394"/>
      <c r="B47" s="463" t="s">
        <v>112</v>
      </c>
      <c r="C47" s="744">
        <v>9</v>
      </c>
      <c r="D47" s="744">
        <v>385</v>
      </c>
      <c r="E47" s="745">
        <v>500</v>
      </c>
      <c r="F47" s="745">
        <v>1000</v>
      </c>
      <c r="G47" s="745">
        <v>0</v>
      </c>
      <c r="H47" s="464" t="s">
        <v>979</v>
      </c>
      <c r="I47" s="209"/>
      <c r="J47" s="83"/>
      <c r="K47" s="83"/>
      <c r="L47" s="83"/>
      <c r="M47" s="83"/>
    </row>
    <row r="48" spans="1:13" s="63" customFormat="1" ht="27.75" customHeight="1">
      <c r="A48" s="1394"/>
      <c r="B48" s="463" t="s">
        <v>113</v>
      </c>
      <c r="C48" s="744">
        <v>31</v>
      </c>
      <c r="D48" s="744">
        <v>934</v>
      </c>
      <c r="E48" s="745">
        <v>0</v>
      </c>
      <c r="F48" s="745">
        <v>2000</v>
      </c>
      <c r="G48" s="745">
        <v>12</v>
      </c>
      <c r="H48" s="464" t="s">
        <v>846</v>
      </c>
      <c r="I48" s="209"/>
      <c r="J48" s="83"/>
      <c r="K48" s="83"/>
      <c r="L48" s="83"/>
      <c r="M48" s="83"/>
    </row>
    <row r="49" spans="1:13" s="63" customFormat="1" ht="27.75" customHeight="1">
      <c r="A49" s="1394"/>
      <c r="B49" s="463" t="s">
        <v>115</v>
      </c>
      <c r="C49" s="744">
        <v>6</v>
      </c>
      <c r="D49" s="744">
        <v>695</v>
      </c>
      <c r="E49" s="745">
        <v>0</v>
      </c>
      <c r="F49" s="745">
        <v>550</v>
      </c>
      <c r="G49" s="745">
        <v>0</v>
      </c>
      <c r="H49" s="464" t="s">
        <v>982</v>
      </c>
      <c r="I49" s="209"/>
      <c r="J49" s="83"/>
      <c r="K49" s="83"/>
      <c r="L49" s="83"/>
      <c r="M49" s="83"/>
    </row>
    <row r="50" spans="1:13" s="63" customFormat="1" ht="27.75" customHeight="1">
      <c r="A50" s="1394"/>
      <c r="B50" s="463" t="s">
        <v>116</v>
      </c>
      <c r="C50" s="1028" t="s">
        <v>796</v>
      </c>
      <c r="D50" s="744"/>
      <c r="E50" s="745"/>
      <c r="F50" s="745"/>
      <c r="G50" s="745"/>
      <c r="H50" s="464"/>
      <c r="I50" s="209"/>
      <c r="J50" s="83"/>
      <c r="K50" s="83"/>
      <c r="L50" s="83"/>
      <c r="M50" s="83"/>
    </row>
    <row r="51" spans="1:13" s="63" customFormat="1" ht="33.75" customHeight="1">
      <c r="A51" s="1394"/>
      <c r="B51" s="465" t="s">
        <v>117</v>
      </c>
      <c r="C51" s="746">
        <v>15</v>
      </c>
      <c r="D51" s="746">
        <v>2440</v>
      </c>
      <c r="E51" s="747">
        <v>0</v>
      </c>
      <c r="F51" s="747">
        <v>2000</v>
      </c>
      <c r="G51" s="747">
        <v>14</v>
      </c>
      <c r="H51" s="630" t="s">
        <v>978</v>
      </c>
      <c r="I51" s="209"/>
      <c r="J51" s="83"/>
      <c r="K51" s="83"/>
      <c r="L51" s="83"/>
      <c r="M51" s="83"/>
    </row>
    <row r="52" spans="1:13" s="63" customFormat="1" ht="27.75" customHeight="1">
      <c r="A52" s="1394"/>
      <c r="B52" s="463" t="s">
        <v>54</v>
      </c>
      <c r="C52" s="755" t="s">
        <v>217</v>
      </c>
      <c r="D52" s="744"/>
      <c r="E52" s="745"/>
      <c r="F52" s="745"/>
      <c r="G52" s="745"/>
      <c r="H52" s="464"/>
      <c r="I52" s="209"/>
      <c r="J52" s="83"/>
      <c r="K52" s="83"/>
      <c r="L52" s="83"/>
      <c r="M52" s="83"/>
    </row>
    <row r="53" spans="1:13" s="63" customFormat="1" ht="27.75" customHeight="1">
      <c r="A53" s="1394"/>
      <c r="B53" s="463" t="s">
        <v>118</v>
      </c>
      <c r="C53" s="744">
        <v>2</v>
      </c>
      <c r="D53" s="744">
        <v>34</v>
      </c>
      <c r="E53" s="745">
        <v>1000</v>
      </c>
      <c r="F53" s="745">
        <v>4000</v>
      </c>
      <c r="G53" s="745">
        <v>0</v>
      </c>
      <c r="H53" s="464" t="s">
        <v>753</v>
      </c>
      <c r="I53" s="209"/>
      <c r="J53" s="83"/>
      <c r="K53" s="83"/>
      <c r="L53" s="83"/>
      <c r="M53" s="83"/>
    </row>
    <row r="54" spans="1:13" s="63" customFormat="1" ht="27.75" customHeight="1" thickBot="1">
      <c r="A54" s="1394"/>
      <c r="B54" s="1042" t="s">
        <v>120</v>
      </c>
      <c r="C54" s="1029">
        <v>8</v>
      </c>
      <c r="D54" s="1029">
        <v>246</v>
      </c>
      <c r="E54" s="1030">
        <v>200</v>
      </c>
      <c r="F54" s="1030">
        <v>3000</v>
      </c>
      <c r="G54" s="1030">
        <v>0</v>
      </c>
      <c r="H54" s="1031" t="s">
        <v>843</v>
      </c>
      <c r="I54" s="83"/>
      <c r="J54" s="83"/>
      <c r="K54" s="83"/>
      <c r="L54" s="83"/>
      <c r="M54" s="83"/>
    </row>
    <row r="55" spans="1:13" s="63" customFormat="1" ht="27.75" customHeight="1" thickBot="1" thickTop="1">
      <c r="A55" s="1890"/>
      <c r="B55" s="381" t="s">
        <v>218</v>
      </c>
      <c r="C55" s="751">
        <f>SUM(C46:C54)</f>
        <v>71</v>
      </c>
      <c r="D55" s="751">
        <f>SUM(D46:D54)</f>
        <v>4734</v>
      </c>
      <c r="E55" s="752">
        <v>0</v>
      </c>
      <c r="F55" s="752">
        <v>4000</v>
      </c>
      <c r="G55" s="751">
        <f>SUM(G46:G54)</f>
        <v>26</v>
      </c>
      <c r="H55" s="382"/>
      <c r="I55" s="83"/>
      <c r="J55" s="83"/>
      <c r="K55" s="83"/>
      <c r="L55" s="83"/>
      <c r="M55" s="83"/>
    </row>
  </sheetData>
  <sheetProtection/>
  <mergeCells count="22">
    <mergeCell ref="A1:H1"/>
    <mergeCell ref="A2:B3"/>
    <mergeCell ref="C2:C3"/>
    <mergeCell ref="D2:D3"/>
    <mergeCell ref="E2:F2"/>
    <mergeCell ref="H30:H31"/>
    <mergeCell ref="G2:G3"/>
    <mergeCell ref="H2:H3"/>
    <mergeCell ref="A4:B4"/>
    <mergeCell ref="A5:A10"/>
    <mergeCell ref="A32:B32"/>
    <mergeCell ref="A33:A38"/>
    <mergeCell ref="A39:A45"/>
    <mergeCell ref="A46:A55"/>
    <mergeCell ref="E30:F30"/>
    <mergeCell ref="G30:G31"/>
    <mergeCell ref="A11:A17"/>
    <mergeCell ref="A18:A27"/>
    <mergeCell ref="A29:H29"/>
    <mergeCell ref="D30:D31"/>
    <mergeCell ref="A30:B31"/>
    <mergeCell ref="C30:C31"/>
  </mergeCells>
  <printOptions/>
  <pageMargins left="0.5118110236220472" right="0.1968503937007874" top="0.6692913385826772" bottom="0.1968503937007874" header="0.7874015748031497" footer="0.3937007874015748"/>
  <pageSetup firstPageNumber="35" useFirstPageNumber="1" horizontalDpi="600" verticalDpi="600" orientation="portrait" paperSize="9" scale="97" r:id="rId1"/>
  <headerFooter scaleWithDoc="0" alignWithMargins="0">
    <oddFooter>&amp;C&amp;12&amp;P</oddFooter>
  </headerFooter>
  <rowBreaks count="1" manualBreakCount="1">
    <brk id="28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120" zoomScaleSheetLayoutView="120" zoomScalePageLayoutView="0" workbookViewId="0" topLeftCell="A1">
      <pane ySplit="4" topLeftCell="A5" activePane="bottomLeft" state="frozen"/>
      <selection pane="topLeft" activeCell="N6" sqref="N6"/>
      <selection pane="bottomLeft" activeCell="N6" sqref="N6"/>
    </sheetView>
  </sheetViews>
  <sheetFormatPr defaultColWidth="9.00390625" defaultRowHeight="13.5"/>
  <cols>
    <col min="1" max="1" width="3.50390625" style="1" customWidth="1"/>
    <col min="2" max="2" width="4.125" style="1" customWidth="1"/>
    <col min="3" max="3" width="8.75390625" style="1" customWidth="1"/>
    <col min="4" max="6" width="6.125" style="211" customWidth="1"/>
    <col min="7" max="8" width="7.625" style="213" customWidth="1"/>
    <col min="9" max="15" width="6.125" style="211" customWidth="1"/>
    <col min="16" max="16" width="0.6171875" style="211" customWidth="1"/>
    <col min="17" max="17" width="8.875" style="211" customWidth="1"/>
    <col min="18" max="16384" width="9.00390625" style="211" customWidth="1"/>
  </cols>
  <sheetData>
    <row r="1" spans="1:15" s="212" customFormat="1" ht="15" customHeight="1">
      <c r="A1" s="387"/>
      <c r="B1" s="388"/>
      <c r="C1" s="389"/>
      <c r="D1" s="2139" t="s">
        <v>364</v>
      </c>
      <c r="E1" s="2142"/>
      <c r="F1" s="2143"/>
      <c r="G1" s="2144" t="s">
        <v>365</v>
      </c>
      <c r="H1" s="2147" t="s">
        <v>366</v>
      </c>
      <c r="I1" s="2150" t="s">
        <v>367</v>
      </c>
      <c r="J1" s="2151"/>
      <c r="K1" s="2151"/>
      <c r="L1" s="2151"/>
      <c r="M1" s="2151"/>
      <c r="N1" s="2151"/>
      <c r="O1" s="2152"/>
    </row>
    <row r="2" spans="1:15" s="212" customFormat="1" ht="19.5" customHeight="1">
      <c r="A2" s="390"/>
      <c r="B2" s="391"/>
      <c r="C2" s="392" t="s">
        <v>368</v>
      </c>
      <c r="D2" s="2140"/>
      <c r="E2" s="2156" t="s">
        <v>369</v>
      </c>
      <c r="F2" s="2157"/>
      <c r="G2" s="2145"/>
      <c r="H2" s="2148"/>
      <c r="I2" s="2153"/>
      <c r="J2" s="2154"/>
      <c r="K2" s="2154"/>
      <c r="L2" s="2154"/>
      <c r="M2" s="2154"/>
      <c r="N2" s="2154"/>
      <c r="O2" s="2155"/>
    </row>
    <row r="3" spans="1:15" s="212" customFormat="1" ht="84.75" customHeight="1">
      <c r="A3" s="390"/>
      <c r="B3" s="391"/>
      <c r="C3" s="392"/>
      <c r="D3" s="2140"/>
      <c r="E3" s="2158" t="s">
        <v>370</v>
      </c>
      <c r="F3" s="2160" t="s">
        <v>371</v>
      </c>
      <c r="G3" s="2145"/>
      <c r="H3" s="2148"/>
      <c r="I3" s="2162" t="s">
        <v>372</v>
      </c>
      <c r="J3" s="2160" t="s">
        <v>373</v>
      </c>
      <c r="K3" s="2160" t="s">
        <v>374</v>
      </c>
      <c r="L3" s="2160" t="s">
        <v>375</v>
      </c>
      <c r="M3" s="2160" t="s">
        <v>376</v>
      </c>
      <c r="N3" s="2164" t="s">
        <v>377</v>
      </c>
      <c r="O3" s="2135" t="s">
        <v>55</v>
      </c>
    </row>
    <row r="4" spans="1:15" s="212" customFormat="1" ht="41.25" customHeight="1" thickBot="1">
      <c r="A4" s="393" t="s">
        <v>378</v>
      </c>
      <c r="B4" s="394"/>
      <c r="C4" s="395"/>
      <c r="D4" s="2141"/>
      <c r="E4" s="2159"/>
      <c r="F4" s="2161"/>
      <c r="G4" s="2146"/>
      <c r="H4" s="2149"/>
      <c r="I4" s="2163"/>
      <c r="J4" s="2161"/>
      <c r="K4" s="2161"/>
      <c r="L4" s="2161"/>
      <c r="M4" s="2161"/>
      <c r="N4" s="2165"/>
      <c r="O4" s="2136"/>
    </row>
    <row r="5" spans="1:15" s="212" customFormat="1" ht="24.75" customHeight="1" thickBot="1">
      <c r="A5" s="2137" t="s">
        <v>31</v>
      </c>
      <c r="B5" s="2138"/>
      <c r="C5" s="1863"/>
      <c r="D5" s="764">
        <f aca="true" t="shared" si="0" ref="D5:O5">D11+D18+D28</f>
        <v>1311</v>
      </c>
      <c r="E5" s="764">
        <f t="shared" si="0"/>
        <v>1188</v>
      </c>
      <c r="F5" s="764">
        <f t="shared" si="0"/>
        <v>123</v>
      </c>
      <c r="G5" s="764">
        <f t="shared" si="0"/>
        <v>53595</v>
      </c>
      <c r="H5" s="764">
        <f t="shared" si="0"/>
        <v>77475</v>
      </c>
      <c r="I5" s="764">
        <f t="shared" si="0"/>
        <v>411</v>
      </c>
      <c r="J5" s="764">
        <f t="shared" si="0"/>
        <v>316</v>
      </c>
      <c r="K5" s="764">
        <f t="shared" si="0"/>
        <v>432</v>
      </c>
      <c r="L5" s="764">
        <f t="shared" si="0"/>
        <v>626</v>
      </c>
      <c r="M5" s="764">
        <f t="shared" si="0"/>
        <v>289</v>
      </c>
      <c r="N5" s="764">
        <f t="shared" si="0"/>
        <v>818</v>
      </c>
      <c r="O5" s="765">
        <f t="shared" si="0"/>
        <v>273</v>
      </c>
    </row>
    <row r="6" spans="1:15" s="212" customFormat="1" ht="24.75" customHeight="1">
      <c r="A6" s="1633" t="s">
        <v>10</v>
      </c>
      <c r="B6" s="1369" t="s">
        <v>18</v>
      </c>
      <c r="C6" s="1370"/>
      <c r="D6" s="766">
        <f>SUM(E6:F6)</f>
        <v>52</v>
      </c>
      <c r="E6" s="766">
        <v>37</v>
      </c>
      <c r="F6" s="766">
        <v>15</v>
      </c>
      <c r="G6" s="767">
        <v>736</v>
      </c>
      <c r="H6" s="767">
        <v>882</v>
      </c>
      <c r="I6" s="766">
        <v>8</v>
      </c>
      <c r="J6" s="766">
        <v>1</v>
      </c>
      <c r="K6" s="766">
        <v>2</v>
      </c>
      <c r="L6" s="766">
        <v>7</v>
      </c>
      <c r="M6" s="766">
        <v>10</v>
      </c>
      <c r="N6" s="766">
        <v>28</v>
      </c>
      <c r="O6" s="768">
        <v>6</v>
      </c>
    </row>
    <row r="7" spans="1:15" s="212" customFormat="1" ht="24.75" customHeight="1">
      <c r="A7" s="1634"/>
      <c r="B7" s="1371" t="s">
        <v>19</v>
      </c>
      <c r="C7" s="1372"/>
      <c r="D7" s="769">
        <f>SUM(E7:F7)</f>
        <v>110</v>
      </c>
      <c r="E7" s="769">
        <v>105</v>
      </c>
      <c r="F7" s="769">
        <v>5</v>
      </c>
      <c r="G7" s="770">
        <v>2157</v>
      </c>
      <c r="H7" s="770">
        <v>2056</v>
      </c>
      <c r="I7" s="769">
        <v>44</v>
      </c>
      <c r="J7" s="769">
        <v>52</v>
      </c>
      <c r="K7" s="769">
        <v>76</v>
      </c>
      <c r="L7" s="769">
        <v>75</v>
      </c>
      <c r="M7" s="769">
        <v>84</v>
      </c>
      <c r="N7" s="769">
        <v>83</v>
      </c>
      <c r="O7" s="771">
        <v>39</v>
      </c>
    </row>
    <row r="8" spans="1:15" s="212" customFormat="1" ht="24.75" customHeight="1">
      <c r="A8" s="1634"/>
      <c r="B8" s="1923" t="s">
        <v>39</v>
      </c>
      <c r="C8" s="1924"/>
      <c r="D8" s="772">
        <f>SUM(E8:F8)</f>
        <v>127</v>
      </c>
      <c r="E8" s="772">
        <v>100</v>
      </c>
      <c r="F8" s="772">
        <v>27</v>
      </c>
      <c r="G8" s="773">
        <v>5368</v>
      </c>
      <c r="H8" s="773">
        <v>5734</v>
      </c>
      <c r="I8" s="772">
        <v>45</v>
      </c>
      <c r="J8" s="772">
        <v>11</v>
      </c>
      <c r="K8" s="772">
        <v>29</v>
      </c>
      <c r="L8" s="772">
        <v>21</v>
      </c>
      <c r="M8" s="772">
        <v>4</v>
      </c>
      <c r="N8" s="772">
        <v>46</v>
      </c>
      <c r="O8" s="774">
        <v>35</v>
      </c>
    </row>
    <row r="9" spans="1:15" s="212" customFormat="1" ht="24.75" customHeight="1">
      <c r="A9" s="1634"/>
      <c r="B9" s="1371" t="s">
        <v>21</v>
      </c>
      <c r="C9" s="1372"/>
      <c r="D9" s="769">
        <f>SUM(E9:F9)</f>
        <v>311</v>
      </c>
      <c r="E9" s="769">
        <v>309</v>
      </c>
      <c r="F9" s="769">
        <v>2</v>
      </c>
      <c r="G9" s="770">
        <v>4261</v>
      </c>
      <c r="H9" s="770">
        <v>5460</v>
      </c>
      <c r="I9" s="769">
        <v>95</v>
      </c>
      <c r="J9" s="769">
        <v>101</v>
      </c>
      <c r="K9" s="769">
        <v>107</v>
      </c>
      <c r="L9" s="769">
        <v>215</v>
      </c>
      <c r="M9" s="769">
        <v>36</v>
      </c>
      <c r="N9" s="769">
        <v>208</v>
      </c>
      <c r="O9" s="771">
        <v>107</v>
      </c>
    </row>
    <row r="10" spans="1:15" s="212" customFormat="1" ht="24.75" customHeight="1" thickBot="1">
      <c r="A10" s="1634"/>
      <c r="B10" s="1389" t="s">
        <v>40</v>
      </c>
      <c r="C10" s="1390"/>
      <c r="D10" s="1035" t="s">
        <v>983</v>
      </c>
      <c r="E10" s="1036"/>
      <c r="F10" s="1036"/>
      <c r="G10" s="1037"/>
      <c r="H10" s="1037"/>
      <c r="I10" s="1036"/>
      <c r="J10" s="1036"/>
      <c r="K10" s="1036"/>
      <c r="L10" s="1036"/>
      <c r="M10" s="1036"/>
      <c r="N10" s="1036"/>
      <c r="O10" s="1038"/>
    </row>
    <row r="11" spans="1:15" s="212" customFormat="1" ht="24.75" customHeight="1" thickBot="1" thickTop="1">
      <c r="A11" s="1635"/>
      <c r="B11" s="1862" t="s">
        <v>20</v>
      </c>
      <c r="C11" s="1863"/>
      <c r="D11" s="1033">
        <f aca="true" t="shared" si="1" ref="D11:O11">SUM(D6:D10)</f>
        <v>600</v>
      </c>
      <c r="E11" s="1033">
        <f t="shared" si="1"/>
        <v>551</v>
      </c>
      <c r="F11" s="1033">
        <f t="shared" si="1"/>
        <v>49</v>
      </c>
      <c r="G11" s="1033">
        <f t="shared" si="1"/>
        <v>12522</v>
      </c>
      <c r="H11" s="1033">
        <f t="shared" si="1"/>
        <v>14132</v>
      </c>
      <c r="I11" s="1033">
        <f t="shared" si="1"/>
        <v>192</v>
      </c>
      <c r="J11" s="1033">
        <f t="shared" si="1"/>
        <v>165</v>
      </c>
      <c r="K11" s="1033">
        <f t="shared" si="1"/>
        <v>214</v>
      </c>
      <c r="L11" s="1033">
        <f t="shared" si="1"/>
        <v>318</v>
      </c>
      <c r="M11" s="1033">
        <f t="shared" si="1"/>
        <v>134</v>
      </c>
      <c r="N11" s="1033">
        <f t="shared" si="1"/>
        <v>365</v>
      </c>
      <c r="O11" s="1034">
        <f t="shared" si="1"/>
        <v>187</v>
      </c>
    </row>
    <row r="12" spans="1:15" s="212" customFormat="1" ht="24.75" customHeight="1">
      <c r="A12" s="1633" t="s">
        <v>12</v>
      </c>
      <c r="B12" s="1369" t="s">
        <v>22</v>
      </c>
      <c r="C12" s="1370"/>
      <c r="D12" s="775">
        <f>SUM(E12:F12)</f>
        <v>71</v>
      </c>
      <c r="E12" s="775">
        <v>71</v>
      </c>
      <c r="F12" s="775"/>
      <c r="G12" s="776">
        <v>4988</v>
      </c>
      <c r="H12" s="776">
        <v>11983</v>
      </c>
      <c r="I12" s="775">
        <v>24</v>
      </c>
      <c r="J12" s="775">
        <v>18</v>
      </c>
      <c r="K12" s="775">
        <v>35</v>
      </c>
      <c r="L12" s="775">
        <v>55</v>
      </c>
      <c r="M12" s="775">
        <v>24</v>
      </c>
      <c r="N12" s="775">
        <v>56</v>
      </c>
      <c r="O12" s="777">
        <v>20</v>
      </c>
    </row>
    <row r="13" spans="1:15" s="212" customFormat="1" ht="24.75" customHeight="1">
      <c r="A13" s="2117"/>
      <c r="B13" s="1371" t="s">
        <v>23</v>
      </c>
      <c r="C13" s="1372"/>
      <c r="D13" s="769">
        <f>SUM(E13:F13)</f>
        <v>80</v>
      </c>
      <c r="E13" s="769">
        <v>80</v>
      </c>
      <c r="F13" s="769"/>
      <c r="G13" s="770">
        <v>1938</v>
      </c>
      <c r="H13" s="770">
        <v>2492</v>
      </c>
      <c r="I13" s="769">
        <v>80</v>
      </c>
      <c r="J13" s="769">
        <v>80</v>
      </c>
      <c r="K13" s="769">
        <v>80</v>
      </c>
      <c r="L13" s="769">
        <v>80</v>
      </c>
      <c r="M13" s="769"/>
      <c r="N13" s="769">
        <v>80</v>
      </c>
      <c r="O13" s="771"/>
    </row>
    <row r="14" spans="1:15" s="212" customFormat="1" ht="24.75" customHeight="1">
      <c r="A14" s="2117"/>
      <c r="B14" s="1371" t="s">
        <v>41</v>
      </c>
      <c r="C14" s="1372"/>
      <c r="D14" s="892" t="s">
        <v>983</v>
      </c>
      <c r="E14" s="769"/>
      <c r="F14" s="769"/>
      <c r="G14" s="770"/>
      <c r="H14" s="770"/>
      <c r="I14" s="769"/>
      <c r="J14" s="769"/>
      <c r="K14" s="769"/>
      <c r="L14" s="769"/>
      <c r="M14" s="769"/>
      <c r="N14" s="769"/>
      <c r="O14" s="771"/>
    </row>
    <row r="15" spans="1:15" s="212" customFormat="1" ht="24.75" customHeight="1">
      <c r="A15" s="2117"/>
      <c r="B15" s="1371" t="s">
        <v>42</v>
      </c>
      <c r="C15" s="1372"/>
      <c r="D15" s="769">
        <f>SUM(E15:F15)</f>
        <v>1</v>
      </c>
      <c r="E15" s="769">
        <v>1</v>
      </c>
      <c r="F15" s="769"/>
      <c r="G15" s="770">
        <v>11</v>
      </c>
      <c r="H15" s="770">
        <v>35</v>
      </c>
      <c r="I15" s="769">
        <v>1</v>
      </c>
      <c r="J15" s="769"/>
      <c r="K15" s="769">
        <v>1</v>
      </c>
      <c r="L15" s="769"/>
      <c r="M15" s="769">
        <v>1</v>
      </c>
      <c r="N15" s="769">
        <v>1</v>
      </c>
      <c r="O15" s="771"/>
    </row>
    <row r="16" spans="1:15" s="212" customFormat="1" ht="24.75" customHeight="1">
      <c r="A16" s="2117"/>
      <c r="B16" s="1371" t="s">
        <v>51</v>
      </c>
      <c r="C16" s="1372" t="s">
        <v>24</v>
      </c>
      <c r="D16" s="769">
        <f>SUM(E16:F16)</f>
        <v>23</v>
      </c>
      <c r="E16" s="769">
        <v>23</v>
      </c>
      <c r="F16" s="769"/>
      <c r="G16" s="770">
        <v>1998</v>
      </c>
      <c r="H16" s="770">
        <v>2482</v>
      </c>
      <c r="I16" s="769">
        <v>23</v>
      </c>
      <c r="J16" s="769">
        <v>2</v>
      </c>
      <c r="K16" s="769">
        <v>7</v>
      </c>
      <c r="L16" s="769">
        <v>14</v>
      </c>
      <c r="M16" s="769">
        <v>15</v>
      </c>
      <c r="N16" s="769">
        <v>16</v>
      </c>
      <c r="O16" s="771">
        <v>12</v>
      </c>
    </row>
    <row r="17" spans="1:15" s="212" customFormat="1" ht="24.75" customHeight="1" thickBot="1">
      <c r="A17" s="2117"/>
      <c r="B17" s="1389" t="s">
        <v>52</v>
      </c>
      <c r="C17" s="1390" t="s">
        <v>24</v>
      </c>
      <c r="D17" s="1036">
        <f>SUM(E17:F17)</f>
        <v>28</v>
      </c>
      <c r="E17" s="1036">
        <v>28</v>
      </c>
      <c r="F17" s="1036"/>
      <c r="G17" s="1037">
        <v>512</v>
      </c>
      <c r="H17" s="1037">
        <v>1126</v>
      </c>
      <c r="I17" s="1036">
        <v>28</v>
      </c>
      <c r="J17" s="1036"/>
      <c r="K17" s="1036">
        <v>28</v>
      </c>
      <c r="L17" s="1036">
        <v>28</v>
      </c>
      <c r="M17" s="1036">
        <v>28</v>
      </c>
      <c r="N17" s="1036">
        <v>28</v>
      </c>
      <c r="O17" s="1038"/>
    </row>
    <row r="18" spans="1:15" s="212" customFormat="1" ht="24.75" customHeight="1" thickBot="1" thickTop="1">
      <c r="A18" s="2118"/>
      <c r="B18" s="1862" t="s">
        <v>20</v>
      </c>
      <c r="C18" s="1863"/>
      <c r="D18" s="1033">
        <f aca="true" t="shared" si="2" ref="D18:O18">SUM(D12:D17)</f>
        <v>203</v>
      </c>
      <c r="E18" s="1033">
        <f t="shared" si="2"/>
        <v>203</v>
      </c>
      <c r="F18" s="1033">
        <f t="shared" si="2"/>
        <v>0</v>
      </c>
      <c r="G18" s="1041">
        <f t="shared" si="2"/>
        <v>9447</v>
      </c>
      <c r="H18" s="1041">
        <f t="shared" si="2"/>
        <v>18118</v>
      </c>
      <c r="I18" s="1033">
        <f t="shared" si="2"/>
        <v>156</v>
      </c>
      <c r="J18" s="1033">
        <f t="shared" si="2"/>
        <v>100</v>
      </c>
      <c r="K18" s="1033">
        <f t="shared" si="2"/>
        <v>151</v>
      </c>
      <c r="L18" s="1033">
        <f t="shared" si="2"/>
        <v>177</v>
      </c>
      <c r="M18" s="1033">
        <f t="shared" si="2"/>
        <v>68</v>
      </c>
      <c r="N18" s="1033">
        <f t="shared" si="2"/>
        <v>181</v>
      </c>
      <c r="O18" s="1034">
        <f t="shared" si="2"/>
        <v>32</v>
      </c>
    </row>
    <row r="19" spans="1:15" s="212" customFormat="1" ht="24.75" customHeight="1">
      <c r="A19" s="1633" t="s">
        <v>295</v>
      </c>
      <c r="B19" s="1369" t="s">
        <v>25</v>
      </c>
      <c r="C19" s="1370"/>
      <c r="D19" s="775">
        <f aca="true" t="shared" si="3" ref="D19:D27">SUM(E19:F19)</f>
        <v>58</v>
      </c>
      <c r="E19" s="775">
        <v>58</v>
      </c>
      <c r="F19" s="775"/>
      <c r="G19" s="776">
        <v>1054</v>
      </c>
      <c r="H19" s="776">
        <v>1454</v>
      </c>
      <c r="I19" s="775">
        <v>35</v>
      </c>
      <c r="J19" s="775">
        <v>35</v>
      </c>
      <c r="K19" s="775">
        <v>37</v>
      </c>
      <c r="L19" s="775">
        <v>57</v>
      </c>
      <c r="M19" s="775">
        <v>43</v>
      </c>
      <c r="N19" s="775">
        <v>57</v>
      </c>
      <c r="O19" s="777"/>
    </row>
    <row r="20" spans="1:15" s="212" customFormat="1" ht="24.75" customHeight="1">
      <c r="A20" s="1634"/>
      <c r="B20" s="1371" t="s">
        <v>26</v>
      </c>
      <c r="C20" s="1372"/>
      <c r="D20" s="769">
        <f t="shared" si="3"/>
        <v>44</v>
      </c>
      <c r="E20" s="769">
        <v>43</v>
      </c>
      <c r="F20" s="769">
        <v>1</v>
      </c>
      <c r="G20" s="770">
        <v>1209</v>
      </c>
      <c r="H20" s="770">
        <v>2425</v>
      </c>
      <c r="I20" s="769">
        <v>20</v>
      </c>
      <c r="J20" s="769">
        <v>16</v>
      </c>
      <c r="K20" s="769">
        <v>17</v>
      </c>
      <c r="L20" s="769">
        <v>9</v>
      </c>
      <c r="M20" s="769">
        <v>14</v>
      </c>
      <c r="N20" s="769">
        <v>24</v>
      </c>
      <c r="O20" s="771">
        <v>6</v>
      </c>
    </row>
    <row r="21" spans="1:15" s="212" customFormat="1" ht="24.75" customHeight="1">
      <c r="A21" s="1634"/>
      <c r="B21" s="1371" t="s">
        <v>43</v>
      </c>
      <c r="C21" s="1372"/>
      <c r="D21" s="769">
        <f t="shared" si="3"/>
        <v>182</v>
      </c>
      <c r="E21" s="769">
        <v>135</v>
      </c>
      <c r="F21" s="769">
        <v>47</v>
      </c>
      <c r="G21" s="770">
        <v>17980</v>
      </c>
      <c r="H21" s="770">
        <v>33186</v>
      </c>
      <c r="I21" s="769">
        <v>3</v>
      </c>
      <c r="J21" s="769"/>
      <c r="K21" s="769">
        <v>12</v>
      </c>
      <c r="L21" s="769">
        <v>31</v>
      </c>
      <c r="M21" s="769">
        <v>5</v>
      </c>
      <c r="N21" s="769">
        <v>91</v>
      </c>
      <c r="O21" s="771">
        <v>10</v>
      </c>
    </row>
    <row r="22" spans="1:15" s="212" customFormat="1" ht="24.75" customHeight="1">
      <c r="A22" s="1634"/>
      <c r="B22" s="1371" t="s">
        <v>44</v>
      </c>
      <c r="C22" s="1372"/>
      <c r="D22" s="769">
        <f t="shared" si="3"/>
        <v>46</v>
      </c>
      <c r="E22" s="769">
        <v>46</v>
      </c>
      <c r="F22" s="769"/>
      <c r="G22" s="770">
        <v>2423</v>
      </c>
      <c r="H22" s="770">
        <v>5635</v>
      </c>
      <c r="I22" s="769"/>
      <c r="J22" s="769"/>
      <c r="K22" s="769"/>
      <c r="L22" s="769">
        <v>3</v>
      </c>
      <c r="M22" s="769">
        <v>23</v>
      </c>
      <c r="N22" s="769">
        <v>46</v>
      </c>
      <c r="O22" s="771">
        <v>6</v>
      </c>
    </row>
    <row r="23" spans="1:15" s="212" customFormat="1" ht="24.75" customHeight="1">
      <c r="A23" s="1634"/>
      <c r="B23" s="1923" t="s">
        <v>53</v>
      </c>
      <c r="C23" s="1924"/>
      <c r="D23" s="892" t="s">
        <v>1063</v>
      </c>
      <c r="E23" s="769"/>
      <c r="F23" s="769"/>
      <c r="G23" s="770"/>
      <c r="H23" s="770"/>
      <c r="I23" s="769"/>
      <c r="J23" s="769"/>
      <c r="K23" s="769"/>
      <c r="L23" s="769"/>
      <c r="M23" s="769"/>
      <c r="N23" s="769"/>
      <c r="O23" s="771"/>
    </row>
    <row r="24" spans="1:15" s="212" customFormat="1" ht="24.75" customHeight="1">
      <c r="A24" s="1634"/>
      <c r="B24" s="1371" t="s">
        <v>27</v>
      </c>
      <c r="C24" s="1372"/>
      <c r="D24" s="775">
        <f t="shared" si="3"/>
        <v>155</v>
      </c>
      <c r="E24" s="775">
        <v>129</v>
      </c>
      <c r="F24" s="775">
        <v>26</v>
      </c>
      <c r="G24" s="776">
        <v>8625</v>
      </c>
      <c r="H24" s="776">
        <v>2030</v>
      </c>
      <c r="I24" s="775">
        <v>4</v>
      </c>
      <c r="J24" s="775"/>
      <c r="K24" s="775">
        <v>1</v>
      </c>
      <c r="L24" s="775">
        <v>20</v>
      </c>
      <c r="M24" s="775">
        <v>1</v>
      </c>
      <c r="N24" s="775">
        <v>38</v>
      </c>
      <c r="O24" s="777">
        <v>15</v>
      </c>
    </row>
    <row r="25" spans="1:15" ht="24.75" customHeight="1">
      <c r="A25" s="1634"/>
      <c r="B25" s="1371" t="s">
        <v>54</v>
      </c>
      <c r="C25" s="1372"/>
      <c r="D25" s="892" t="s">
        <v>1063</v>
      </c>
      <c r="E25" s="769"/>
      <c r="F25" s="769"/>
      <c r="G25" s="770"/>
      <c r="H25" s="770"/>
      <c r="I25" s="769"/>
      <c r="J25" s="769"/>
      <c r="K25" s="769"/>
      <c r="L25" s="769"/>
      <c r="M25" s="769"/>
      <c r="N25" s="769"/>
      <c r="O25" s="771"/>
    </row>
    <row r="26" spans="1:17" ht="24.75" customHeight="1">
      <c r="A26" s="1634"/>
      <c r="B26" s="1371" t="s">
        <v>45</v>
      </c>
      <c r="C26" s="1372"/>
      <c r="D26" s="769">
        <f t="shared" si="3"/>
        <v>16</v>
      </c>
      <c r="E26" s="769">
        <v>16</v>
      </c>
      <c r="F26" s="769"/>
      <c r="G26" s="770">
        <v>78</v>
      </c>
      <c r="H26" s="770">
        <v>227</v>
      </c>
      <c r="I26" s="769"/>
      <c r="J26" s="769"/>
      <c r="K26" s="769"/>
      <c r="L26" s="769">
        <v>9</v>
      </c>
      <c r="M26" s="769"/>
      <c r="N26" s="769">
        <v>9</v>
      </c>
      <c r="O26" s="771">
        <v>16</v>
      </c>
      <c r="Q26" s="1045"/>
    </row>
    <row r="27" spans="1:15" ht="24.75" customHeight="1" thickBot="1">
      <c r="A27" s="1634"/>
      <c r="B27" s="1389" t="s">
        <v>46</v>
      </c>
      <c r="C27" s="1390"/>
      <c r="D27" s="1036">
        <f t="shared" si="3"/>
        <v>7</v>
      </c>
      <c r="E27" s="1036">
        <v>7</v>
      </c>
      <c r="F27" s="1036"/>
      <c r="G27" s="1037">
        <v>257</v>
      </c>
      <c r="H27" s="1037">
        <v>268</v>
      </c>
      <c r="I27" s="1036">
        <v>1</v>
      </c>
      <c r="J27" s="1036"/>
      <c r="K27" s="1036"/>
      <c r="L27" s="1036">
        <v>2</v>
      </c>
      <c r="M27" s="1036">
        <v>1</v>
      </c>
      <c r="N27" s="1036">
        <v>7</v>
      </c>
      <c r="O27" s="1038">
        <v>1</v>
      </c>
    </row>
    <row r="28" spans="1:15" ht="24.75" customHeight="1" thickBot="1" thickTop="1">
      <c r="A28" s="1635"/>
      <c r="B28" s="1391" t="s">
        <v>20</v>
      </c>
      <c r="C28" s="1392"/>
      <c r="D28" s="1039">
        <f aca="true" t="shared" si="4" ref="D28:O28">SUM(D19:D27)</f>
        <v>508</v>
      </c>
      <c r="E28" s="1039">
        <f t="shared" si="4"/>
        <v>434</v>
      </c>
      <c r="F28" s="1039">
        <f t="shared" si="4"/>
        <v>74</v>
      </c>
      <c r="G28" s="1039">
        <f t="shared" si="4"/>
        <v>31626</v>
      </c>
      <c r="H28" s="1039">
        <f t="shared" si="4"/>
        <v>45225</v>
      </c>
      <c r="I28" s="1039">
        <f t="shared" si="4"/>
        <v>63</v>
      </c>
      <c r="J28" s="1039">
        <f t="shared" si="4"/>
        <v>51</v>
      </c>
      <c r="K28" s="1039">
        <f t="shared" si="4"/>
        <v>67</v>
      </c>
      <c r="L28" s="1039">
        <f t="shared" si="4"/>
        <v>131</v>
      </c>
      <c r="M28" s="1039">
        <f t="shared" si="4"/>
        <v>87</v>
      </c>
      <c r="N28" s="1039">
        <f t="shared" si="4"/>
        <v>272</v>
      </c>
      <c r="O28" s="1040">
        <f t="shared" si="4"/>
        <v>54</v>
      </c>
    </row>
    <row r="29" spans="1:15" ht="13.5">
      <c r="A29" s="245"/>
      <c r="B29" s="245"/>
      <c r="C29" s="245"/>
      <c r="D29" s="396"/>
      <c r="E29" s="396"/>
      <c r="F29" s="396"/>
      <c r="G29" s="397"/>
      <c r="H29" s="397"/>
      <c r="I29" s="396"/>
      <c r="J29" s="396"/>
      <c r="K29" s="396"/>
      <c r="L29" s="396"/>
      <c r="M29" s="396"/>
      <c r="N29" s="396"/>
      <c r="O29" s="396"/>
    </row>
  </sheetData>
  <sheetProtection/>
  <mergeCells count="42">
    <mergeCell ref="I3:I4"/>
    <mergeCell ref="J3:J4"/>
    <mergeCell ref="K3:K4"/>
    <mergeCell ref="L3:L4"/>
    <mergeCell ref="M3:M4"/>
    <mergeCell ref="N3:N4"/>
    <mergeCell ref="O3:O4"/>
    <mergeCell ref="A5:C5"/>
    <mergeCell ref="D1:D4"/>
    <mergeCell ref="E1:F1"/>
    <mergeCell ref="G1:G4"/>
    <mergeCell ref="H1:H4"/>
    <mergeCell ref="I1:O2"/>
    <mergeCell ref="E2:F2"/>
    <mergeCell ref="E3:E4"/>
    <mergeCell ref="F3:F4"/>
    <mergeCell ref="A6:A11"/>
    <mergeCell ref="B6:C6"/>
    <mergeCell ref="B7:C7"/>
    <mergeCell ref="B8:C8"/>
    <mergeCell ref="B9:C9"/>
    <mergeCell ref="B10:C10"/>
    <mergeCell ref="B11:C11"/>
    <mergeCell ref="B27:C27"/>
    <mergeCell ref="A12:A18"/>
    <mergeCell ref="B12:C12"/>
    <mergeCell ref="B13:C13"/>
    <mergeCell ref="B14:C14"/>
    <mergeCell ref="B15:C15"/>
    <mergeCell ref="B16:C16"/>
    <mergeCell ref="B17:C17"/>
    <mergeCell ref="B18:C18"/>
    <mergeCell ref="B28:C28"/>
    <mergeCell ref="A19:A28"/>
    <mergeCell ref="B19:C19"/>
    <mergeCell ref="B20:C20"/>
    <mergeCell ref="B21:C21"/>
    <mergeCell ref="B22:C22"/>
    <mergeCell ref="B23:C23"/>
    <mergeCell ref="B24:C24"/>
    <mergeCell ref="B25:C25"/>
    <mergeCell ref="B26:C26"/>
  </mergeCells>
  <printOptions/>
  <pageMargins left="0.7086614173228347" right="0.1968503937007874" top="1" bottom="0.1968503937007874" header="0.65" footer="0.3937007874015748"/>
  <pageSetup firstPageNumber="37" useFirstPageNumber="1" horizontalDpi="600" verticalDpi="600" orientation="portrait" paperSize="9" r:id="rId2"/>
  <headerFooter scaleWithDoc="0" alignWithMargins="0">
    <oddHeader>&amp;L&amp;"ＭＳ Ｐゴシック,太字"18　愛護班の状況</oddHeader>
    <oddFooter>&amp;C&amp;12&amp;P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130" zoomScaleNormal="120" zoomScaleSheetLayoutView="130" zoomScalePageLayoutView="0" workbookViewId="0" topLeftCell="A1">
      <pane xSplit="2" ySplit="5" topLeftCell="C6" activePane="bottomRight" state="frozen"/>
      <selection pane="topLeft" activeCell="N6" sqref="N6"/>
      <selection pane="topRight" activeCell="N6" sqref="N6"/>
      <selection pane="bottomLeft" activeCell="N6" sqref="N6"/>
      <selection pane="bottomRight" activeCell="N6" sqref="N6"/>
    </sheetView>
  </sheetViews>
  <sheetFormatPr defaultColWidth="9.00390625" defaultRowHeight="13.5"/>
  <cols>
    <col min="1" max="1" width="2.875" style="18" customWidth="1"/>
    <col min="2" max="2" width="10.75390625" style="18" customWidth="1"/>
    <col min="3" max="3" width="5.625" style="18" customWidth="1"/>
    <col min="4" max="4" width="6.875" style="18" customWidth="1"/>
    <col min="5" max="5" width="5.625" style="18" customWidth="1"/>
    <col min="6" max="6" width="6.875" style="18" customWidth="1"/>
    <col min="7" max="7" width="5.625" style="18" customWidth="1"/>
    <col min="8" max="8" width="6.875" style="18" customWidth="1"/>
    <col min="9" max="9" width="5.625" style="18" customWidth="1"/>
    <col min="10" max="10" width="6.875" style="18" customWidth="1"/>
    <col min="11" max="11" width="5.625" style="18" customWidth="1"/>
    <col min="12" max="12" width="7.625" style="18" customWidth="1"/>
    <col min="13" max="13" width="5.625" style="18" customWidth="1"/>
    <col min="14" max="14" width="6.875" style="18" customWidth="1"/>
    <col min="15" max="16384" width="9.00390625" style="18" customWidth="1"/>
  </cols>
  <sheetData>
    <row r="1" spans="1:14" ht="24.75" customHeight="1">
      <c r="A1" s="2167" t="s">
        <v>222</v>
      </c>
      <c r="B1" s="2167"/>
      <c r="C1" s="2167"/>
      <c r="D1" s="2167"/>
      <c r="E1" s="2167"/>
      <c r="F1" s="2167"/>
      <c r="G1" s="2167"/>
      <c r="H1" s="2167"/>
      <c r="I1" s="2167"/>
      <c r="J1" s="2167"/>
      <c r="K1" s="2167"/>
      <c r="L1" s="2167"/>
      <c r="M1" s="2167"/>
      <c r="N1" s="2167"/>
    </row>
    <row r="2" spans="1:14" ht="24.75" customHeight="1" thickBot="1">
      <c r="A2" s="2168" t="s">
        <v>870</v>
      </c>
      <c r="B2" s="2168"/>
      <c r="C2" s="2168"/>
      <c r="D2" s="2168"/>
      <c r="E2" s="2168"/>
      <c r="F2" s="2168"/>
      <c r="G2" s="2168"/>
      <c r="H2" s="2168"/>
      <c r="I2" s="2168"/>
      <c r="J2" s="2168"/>
      <c r="K2" s="2168"/>
      <c r="L2" s="2168"/>
      <c r="M2" s="2168"/>
      <c r="N2" s="2168"/>
    </row>
    <row r="3" spans="1:14" s="42" customFormat="1" ht="24.75" customHeight="1">
      <c r="A3" s="2169" t="s">
        <v>223</v>
      </c>
      <c r="B3" s="2170"/>
      <c r="C3" s="2173" t="s">
        <v>224</v>
      </c>
      <c r="D3" s="2174"/>
      <c r="E3" s="2173" t="s">
        <v>225</v>
      </c>
      <c r="F3" s="2174"/>
      <c r="G3" s="2175" t="s">
        <v>226</v>
      </c>
      <c r="H3" s="2176"/>
      <c r="I3" s="2173" t="s">
        <v>227</v>
      </c>
      <c r="J3" s="2174"/>
      <c r="K3" s="2175" t="s">
        <v>96</v>
      </c>
      <c r="L3" s="2176"/>
      <c r="M3" s="2177" t="s">
        <v>1064</v>
      </c>
      <c r="N3" s="2178"/>
    </row>
    <row r="4" spans="1:14" s="42" customFormat="1" ht="24.75" customHeight="1" thickBot="1">
      <c r="A4" s="2171"/>
      <c r="B4" s="2172"/>
      <c r="C4" s="398" t="s">
        <v>228</v>
      </c>
      <c r="D4" s="399" t="s">
        <v>229</v>
      </c>
      <c r="E4" s="398" t="s">
        <v>228</v>
      </c>
      <c r="F4" s="399" t="s">
        <v>229</v>
      </c>
      <c r="G4" s="398" t="s">
        <v>228</v>
      </c>
      <c r="H4" s="400" t="s">
        <v>229</v>
      </c>
      <c r="I4" s="398" t="s">
        <v>228</v>
      </c>
      <c r="J4" s="399" t="s">
        <v>229</v>
      </c>
      <c r="K4" s="398" t="s">
        <v>228</v>
      </c>
      <c r="L4" s="400" t="s">
        <v>229</v>
      </c>
      <c r="M4" s="472" t="s">
        <v>228</v>
      </c>
      <c r="N4" s="473" t="s">
        <v>229</v>
      </c>
    </row>
    <row r="5" spans="1:14" s="42" customFormat="1" ht="25.5" customHeight="1" thickBot="1">
      <c r="A5" s="1911" t="s">
        <v>230</v>
      </c>
      <c r="B5" s="1912"/>
      <c r="C5" s="778">
        <f aca="true" t="shared" si="0" ref="C5:N5">SUM(C11+C18+C28)</f>
        <v>13</v>
      </c>
      <c r="D5" s="779">
        <f t="shared" si="0"/>
        <v>366</v>
      </c>
      <c r="E5" s="778">
        <f t="shared" si="0"/>
        <v>7</v>
      </c>
      <c r="F5" s="779">
        <f>SUM(F11+F18+F28)</f>
        <v>247</v>
      </c>
      <c r="G5" s="778">
        <f t="shared" si="0"/>
        <v>255</v>
      </c>
      <c r="H5" s="779">
        <f>SUM(H11+H18+H28)</f>
        <v>57307</v>
      </c>
      <c r="I5" s="778">
        <f>SUM(I11+I18+I28)</f>
        <v>121</v>
      </c>
      <c r="J5" s="779">
        <f t="shared" si="0"/>
        <v>32809</v>
      </c>
      <c r="K5" s="778">
        <f t="shared" si="0"/>
        <v>396</v>
      </c>
      <c r="L5" s="780">
        <f>SUM(L11+L18+L28)</f>
        <v>90729</v>
      </c>
      <c r="M5" s="1069">
        <f>SUM(M11+M18+M28)</f>
        <v>60</v>
      </c>
      <c r="N5" s="1070">
        <f t="shared" si="0"/>
        <v>2345</v>
      </c>
    </row>
    <row r="6" spans="1:14" s="42" customFormat="1" ht="25.5" customHeight="1">
      <c r="A6" s="1908" t="s">
        <v>204</v>
      </c>
      <c r="B6" s="290" t="s">
        <v>93</v>
      </c>
      <c r="C6" s="781"/>
      <c r="D6" s="782"/>
      <c r="E6" s="781">
        <v>1</v>
      </c>
      <c r="F6" s="782">
        <v>31</v>
      </c>
      <c r="G6" s="1071">
        <v>15</v>
      </c>
      <c r="H6" s="1072">
        <v>5153</v>
      </c>
      <c r="I6" s="781">
        <v>10</v>
      </c>
      <c r="J6" s="782">
        <v>3062</v>
      </c>
      <c r="K6" s="783">
        <f aca="true" t="shared" si="1" ref="K6:L10">C6+E6+G6+I6</f>
        <v>26</v>
      </c>
      <c r="L6" s="784">
        <f t="shared" si="1"/>
        <v>8246</v>
      </c>
      <c r="M6" s="1073">
        <v>2</v>
      </c>
      <c r="N6" s="782">
        <f>53+55</f>
        <v>108</v>
      </c>
    </row>
    <row r="7" spans="1:14" s="42" customFormat="1" ht="25.5" customHeight="1">
      <c r="A7" s="1909"/>
      <c r="B7" s="240" t="s">
        <v>97</v>
      </c>
      <c r="C7" s="785"/>
      <c r="D7" s="786"/>
      <c r="E7" s="785"/>
      <c r="F7" s="786"/>
      <c r="G7" s="1074">
        <v>25</v>
      </c>
      <c r="H7" s="1075">
        <v>4696</v>
      </c>
      <c r="I7" s="785">
        <v>10</v>
      </c>
      <c r="J7" s="786">
        <v>2610</v>
      </c>
      <c r="K7" s="787">
        <f t="shared" si="1"/>
        <v>35</v>
      </c>
      <c r="L7" s="784">
        <f t="shared" si="1"/>
        <v>7306</v>
      </c>
      <c r="M7" s="788">
        <v>5</v>
      </c>
      <c r="N7" s="786">
        <f>51+45+86+35+34</f>
        <v>251</v>
      </c>
    </row>
    <row r="8" spans="1:14" s="42" customFormat="1" ht="25.5" customHeight="1">
      <c r="A8" s="1909"/>
      <c r="B8" s="240" t="s">
        <v>39</v>
      </c>
      <c r="C8" s="789"/>
      <c r="D8" s="790"/>
      <c r="E8" s="789">
        <v>1</v>
      </c>
      <c r="F8" s="790">
        <v>56</v>
      </c>
      <c r="G8" s="1076">
        <v>18</v>
      </c>
      <c r="H8" s="1077">
        <v>3775</v>
      </c>
      <c r="I8" s="789">
        <v>6</v>
      </c>
      <c r="J8" s="790">
        <v>2192</v>
      </c>
      <c r="K8" s="791">
        <f t="shared" si="1"/>
        <v>25</v>
      </c>
      <c r="L8" s="784">
        <f t="shared" si="1"/>
        <v>6023</v>
      </c>
      <c r="M8" s="792">
        <v>6</v>
      </c>
      <c r="N8" s="790">
        <f>54+23+64+57+13+75</f>
        <v>286</v>
      </c>
    </row>
    <row r="9" spans="1:14" s="42" customFormat="1" ht="25.5" customHeight="1">
      <c r="A9" s="1909"/>
      <c r="B9" s="291" t="s">
        <v>100</v>
      </c>
      <c r="C9" s="785"/>
      <c r="D9" s="786"/>
      <c r="E9" s="785">
        <v>1</v>
      </c>
      <c r="F9" s="786">
        <v>5</v>
      </c>
      <c r="G9" s="785">
        <v>25</v>
      </c>
      <c r="H9" s="786">
        <v>6257</v>
      </c>
      <c r="I9" s="785">
        <v>14</v>
      </c>
      <c r="J9" s="786">
        <v>3574</v>
      </c>
      <c r="K9" s="793">
        <f t="shared" si="1"/>
        <v>40</v>
      </c>
      <c r="L9" s="784">
        <f t="shared" si="1"/>
        <v>9836</v>
      </c>
      <c r="M9" s="788"/>
      <c r="N9" s="786"/>
    </row>
    <row r="10" spans="1:14" s="42" customFormat="1" ht="25.5" customHeight="1" thickBot="1">
      <c r="A10" s="1909"/>
      <c r="B10" s="1046" t="s">
        <v>101</v>
      </c>
      <c r="C10" s="1047"/>
      <c r="D10" s="1048"/>
      <c r="E10" s="1047">
        <v>1</v>
      </c>
      <c r="F10" s="1048">
        <v>14</v>
      </c>
      <c r="G10" s="1047">
        <v>3</v>
      </c>
      <c r="H10" s="1048">
        <v>186</v>
      </c>
      <c r="I10" s="1047">
        <v>2</v>
      </c>
      <c r="J10" s="1048">
        <v>110</v>
      </c>
      <c r="K10" s="1049">
        <f t="shared" si="1"/>
        <v>6</v>
      </c>
      <c r="L10" s="1050">
        <f t="shared" si="1"/>
        <v>310</v>
      </c>
      <c r="M10" s="1051"/>
      <c r="N10" s="1048"/>
    </row>
    <row r="11" spans="1:14" s="42" customFormat="1" ht="25.5" customHeight="1" thickBot="1" thickTop="1">
      <c r="A11" s="1910"/>
      <c r="B11" s="1062" t="s">
        <v>218</v>
      </c>
      <c r="C11" s="797">
        <f aca="true" t="shared" si="2" ref="C11:N11">SUM(C6:C10)</f>
        <v>0</v>
      </c>
      <c r="D11" s="794">
        <f t="shared" si="2"/>
        <v>0</v>
      </c>
      <c r="E11" s="797">
        <f t="shared" si="2"/>
        <v>4</v>
      </c>
      <c r="F11" s="794">
        <f>SUM(F6:F10)</f>
        <v>106</v>
      </c>
      <c r="G11" s="797">
        <f t="shared" si="2"/>
        <v>86</v>
      </c>
      <c r="H11" s="794">
        <f>SUM(H6:H10)</f>
        <v>20067</v>
      </c>
      <c r="I11" s="797">
        <f t="shared" si="2"/>
        <v>42</v>
      </c>
      <c r="J11" s="794">
        <f t="shared" si="2"/>
        <v>11548</v>
      </c>
      <c r="K11" s="797">
        <f t="shared" si="2"/>
        <v>132</v>
      </c>
      <c r="L11" s="798">
        <f>SUM(L6:L10)</f>
        <v>31721</v>
      </c>
      <c r="M11" s="804">
        <f t="shared" si="2"/>
        <v>13</v>
      </c>
      <c r="N11" s="805">
        <f t="shared" si="2"/>
        <v>645</v>
      </c>
    </row>
    <row r="12" spans="1:14" s="42" customFormat="1" ht="25.5" customHeight="1">
      <c r="A12" s="1905" t="s">
        <v>209</v>
      </c>
      <c r="B12" s="290" t="s">
        <v>103</v>
      </c>
      <c r="C12" s="781">
        <v>1</v>
      </c>
      <c r="D12" s="782">
        <v>34</v>
      </c>
      <c r="E12" s="781">
        <v>1</v>
      </c>
      <c r="F12" s="782">
        <v>71</v>
      </c>
      <c r="G12" s="781">
        <v>53</v>
      </c>
      <c r="H12" s="782">
        <v>22608</v>
      </c>
      <c r="I12" s="781">
        <v>29</v>
      </c>
      <c r="J12" s="782">
        <v>12265</v>
      </c>
      <c r="K12" s="783">
        <f aca="true" t="shared" si="3" ref="K12:K17">C12+E12+G12+I12</f>
        <v>84</v>
      </c>
      <c r="L12" s="784">
        <f aca="true" t="shared" si="4" ref="L12:L17">D12+F12+H12+J12</f>
        <v>34978</v>
      </c>
      <c r="M12" s="1073">
        <v>6</v>
      </c>
      <c r="N12" s="782">
        <f>136+13+67+124+62+23</f>
        <v>425</v>
      </c>
    </row>
    <row r="13" spans="1:14" s="42" customFormat="1" ht="25.5" customHeight="1">
      <c r="A13" s="1906"/>
      <c r="B13" s="240" t="s">
        <v>104</v>
      </c>
      <c r="C13" s="785"/>
      <c r="D13" s="786"/>
      <c r="E13" s="785"/>
      <c r="F13" s="786"/>
      <c r="G13" s="785">
        <v>9</v>
      </c>
      <c r="H13" s="786">
        <v>1590</v>
      </c>
      <c r="I13" s="785">
        <v>4</v>
      </c>
      <c r="J13" s="786">
        <v>940</v>
      </c>
      <c r="K13" s="787">
        <f t="shared" si="3"/>
        <v>13</v>
      </c>
      <c r="L13" s="784">
        <f t="shared" si="4"/>
        <v>2530</v>
      </c>
      <c r="M13" s="788">
        <v>4</v>
      </c>
      <c r="N13" s="786">
        <f>72+56+48+13</f>
        <v>189</v>
      </c>
    </row>
    <row r="14" spans="1:14" s="42" customFormat="1" ht="25.5" customHeight="1">
      <c r="A14" s="1906"/>
      <c r="B14" s="240" t="s">
        <v>105</v>
      </c>
      <c r="C14" s="785">
        <v>2</v>
      </c>
      <c r="D14" s="786">
        <v>79</v>
      </c>
      <c r="E14" s="785"/>
      <c r="F14" s="786"/>
      <c r="G14" s="785">
        <v>5</v>
      </c>
      <c r="H14" s="786">
        <v>1409</v>
      </c>
      <c r="I14" s="785">
        <v>2</v>
      </c>
      <c r="J14" s="786">
        <v>894</v>
      </c>
      <c r="K14" s="791">
        <f t="shared" si="3"/>
        <v>9</v>
      </c>
      <c r="L14" s="784">
        <f t="shared" si="4"/>
        <v>2382</v>
      </c>
      <c r="M14" s="788">
        <v>5</v>
      </c>
      <c r="N14" s="786">
        <f>101+93+79+12+13</f>
        <v>298</v>
      </c>
    </row>
    <row r="15" spans="1:14" s="42" customFormat="1" ht="25.5" customHeight="1">
      <c r="A15" s="1906"/>
      <c r="B15" s="240" t="s">
        <v>42</v>
      </c>
      <c r="C15" s="785">
        <v>8</v>
      </c>
      <c r="D15" s="786">
        <v>159</v>
      </c>
      <c r="E15" s="785"/>
      <c r="F15" s="786"/>
      <c r="G15" s="785">
        <v>1</v>
      </c>
      <c r="H15" s="786">
        <v>136</v>
      </c>
      <c r="I15" s="785">
        <v>2</v>
      </c>
      <c r="J15" s="786">
        <v>198</v>
      </c>
      <c r="K15" s="793">
        <f t="shared" si="3"/>
        <v>11</v>
      </c>
      <c r="L15" s="784">
        <f t="shared" si="4"/>
        <v>493</v>
      </c>
      <c r="M15" s="788">
        <v>9</v>
      </c>
      <c r="N15" s="786">
        <f>34+5+12+7+10+5+9+5+4</f>
        <v>91</v>
      </c>
    </row>
    <row r="16" spans="1:14" s="42" customFormat="1" ht="25.5" customHeight="1">
      <c r="A16" s="1906"/>
      <c r="B16" s="240" t="s">
        <v>108</v>
      </c>
      <c r="C16" s="785"/>
      <c r="D16" s="786"/>
      <c r="E16" s="785"/>
      <c r="F16" s="786"/>
      <c r="G16" s="785">
        <v>3</v>
      </c>
      <c r="H16" s="786">
        <v>1386</v>
      </c>
      <c r="I16" s="785">
        <v>3</v>
      </c>
      <c r="J16" s="786">
        <v>768</v>
      </c>
      <c r="K16" s="794">
        <f t="shared" si="3"/>
        <v>6</v>
      </c>
      <c r="L16" s="784">
        <f t="shared" si="4"/>
        <v>2154</v>
      </c>
      <c r="M16" s="788">
        <v>2</v>
      </c>
      <c r="N16" s="786">
        <f>59+84</f>
        <v>143</v>
      </c>
    </row>
    <row r="17" spans="1:14" s="42" customFormat="1" ht="25.5" customHeight="1" thickBot="1">
      <c r="A17" s="1906"/>
      <c r="B17" s="1046" t="s">
        <v>109</v>
      </c>
      <c r="C17" s="1047"/>
      <c r="D17" s="1048"/>
      <c r="E17" s="1047"/>
      <c r="F17" s="1048"/>
      <c r="G17" s="1047">
        <v>4</v>
      </c>
      <c r="H17" s="1048">
        <v>937</v>
      </c>
      <c r="I17" s="1047">
        <v>1</v>
      </c>
      <c r="J17" s="1048">
        <v>552</v>
      </c>
      <c r="K17" s="1052">
        <f t="shared" si="3"/>
        <v>5</v>
      </c>
      <c r="L17" s="1050">
        <f t="shared" si="4"/>
        <v>1489</v>
      </c>
      <c r="M17" s="1051">
        <v>2</v>
      </c>
      <c r="N17" s="1048">
        <f>58+48</f>
        <v>106</v>
      </c>
    </row>
    <row r="18" spans="1:14" s="42" customFormat="1" ht="25.5" customHeight="1" thickBot="1" thickTop="1">
      <c r="A18" s="1907"/>
      <c r="B18" s="1062" t="s">
        <v>218</v>
      </c>
      <c r="C18" s="795">
        <f aca="true" t="shared" si="5" ref="C18:N18">SUM(C12:C17)</f>
        <v>11</v>
      </c>
      <c r="D18" s="796">
        <f t="shared" si="5"/>
        <v>272</v>
      </c>
      <c r="E18" s="795">
        <f t="shared" si="5"/>
        <v>1</v>
      </c>
      <c r="F18" s="796">
        <f t="shared" si="5"/>
        <v>71</v>
      </c>
      <c r="G18" s="795">
        <f t="shared" si="5"/>
        <v>75</v>
      </c>
      <c r="H18" s="796">
        <f>SUM(H12:H17)</f>
        <v>28066</v>
      </c>
      <c r="I18" s="795">
        <f t="shared" si="5"/>
        <v>41</v>
      </c>
      <c r="J18" s="796">
        <f t="shared" si="5"/>
        <v>15617</v>
      </c>
      <c r="K18" s="797">
        <f t="shared" si="5"/>
        <v>128</v>
      </c>
      <c r="L18" s="798">
        <f t="shared" si="5"/>
        <v>44026</v>
      </c>
      <c r="M18" s="799">
        <f t="shared" si="5"/>
        <v>28</v>
      </c>
      <c r="N18" s="800">
        <f t="shared" si="5"/>
        <v>1252</v>
      </c>
    </row>
    <row r="19" spans="1:15" s="42" customFormat="1" ht="25.5" customHeight="1">
      <c r="A19" s="1908" t="s">
        <v>206</v>
      </c>
      <c r="B19" s="292" t="s">
        <v>111</v>
      </c>
      <c r="C19" s="781"/>
      <c r="D19" s="782"/>
      <c r="E19" s="781"/>
      <c r="F19" s="782"/>
      <c r="G19" s="781">
        <v>12</v>
      </c>
      <c r="H19" s="782">
        <v>1211</v>
      </c>
      <c r="I19" s="781">
        <v>5</v>
      </c>
      <c r="J19" s="782">
        <v>795</v>
      </c>
      <c r="K19" s="783">
        <f aca="true" t="shared" si="6" ref="K19:K27">C19+E19+G19+I19</f>
        <v>17</v>
      </c>
      <c r="L19" s="784">
        <f aca="true" t="shared" si="7" ref="L19:L27">D19+F19+H19+J19</f>
        <v>2006</v>
      </c>
      <c r="M19" s="1073">
        <v>2</v>
      </c>
      <c r="N19" s="1078">
        <f>32+3</f>
        <v>35</v>
      </c>
      <c r="O19" s="42" t="s">
        <v>596</v>
      </c>
    </row>
    <row r="20" spans="1:14" s="42" customFormat="1" ht="25.5" customHeight="1">
      <c r="A20" s="1909"/>
      <c r="B20" s="240" t="s">
        <v>112</v>
      </c>
      <c r="C20" s="785">
        <v>1</v>
      </c>
      <c r="D20" s="786">
        <v>84</v>
      </c>
      <c r="E20" s="785">
        <v>1</v>
      </c>
      <c r="F20" s="786">
        <v>30</v>
      </c>
      <c r="G20" s="785">
        <v>10</v>
      </c>
      <c r="H20" s="786">
        <v>1682</v>
      </c>
      <c r="I20" s="785">
        <v>8</v>
      </c>
      <c r="J20" s="786">
        <v>1094</v>
      </c>
      <c r="K20" s="787">
        <f t="shared" si="6"/>
        <v>20</v>
      </c>
      <c r="L20" s="784">
        <f t="shared" si="7"/>
        <v>2890</v>
      </c>
      <c r="M20" s="788">
        <v>6</v>
      </c>
      <c r="N20" s="801">
        <f>41+40+18+17+16+6</f>
        <v>138</v>
      </c>
    </row>
    <row r="21" spans="1:14" s="42" customFormat="1" ht="25.5" customHeight="1">
      <c r="A21" s="1909"/>
      <c r="B21" s="240" t="s">
        <v>113</v>
      </c>
      <c r="C21" s="785">
        <v>1</v>
      </c>
      <c r="D21" s="786">
        <v>10</v>
      </c>
      <c r="E21" s="785"/>
      <c r="F21" s="786"/>
      <c r="G21" s="785">
        <v>11</v>
      </c>
      <c r="H21" s="786">
        <v>1380</v>
      </c>
      <c r="I21" s="785">
        <v>5</v>
      </c>
      <c r="J21" s="786">
        <v>906</v>
      </c>
      <c r="K21" s="791">
        <f t="shared" si="6"/>
        <v>17</v>
      </c>
      <c r="L21" s="784">
        <f t="shared" si="7"/>
        <v>2296</v>
      </c>
      <c r="M21" s="788">
        <v>2</v>
      </c>
      <c r="N21" s="801">
        <f>53+10</f>
        <v>63</v>
      </c>
    </row>
    <row r="22" spans="1:14" s="42" customFormat="1" ht="25.5" customHeight="1">
      <c r="A22" s="1909"/>
      <c r="B22" s="240" t="s">
        <v>115</v>
      </c>
      <c r="C22" s="785"/>
      <c r="D22" s="786"/>
      <c r="E22" s="785"/>
      <c r="F22" s="786"/>
      <c r="G22" s="785">
        <v>7</v>
      </c>
      <c r="H22" s="786">
        <v>618</v>
      </c>
      <c r="I22" s="785">
        <v>4</v>
      </c>
      <c r="J22" s="786">
        <v>435</v>
      </c>
      <c r="K22" s="793">
        <f t="shared" si="6"/>
        <v>11</v>
      </c>
      <c r="L22" s="784">
        <f t="shared" si="7"/>
        <v>1053</v>
      </c>
      <c r="M22" s="788">
        <v>4</v>
      </c>
      <c r="N22" s="801">
        <f>19+42+10+37</f>
        <v>108</v>
      </c>
    </row>
    <row r="23" spans="1:14" s="42" customFormat="1" ht="25.5" customHeight="1">
      <c r="A23" s="1909"/>
      <c r="B23" s="293" t="s">
        <v>116</v>
      </c>
      <c r="C23" s="789"/>
      <c r="D23" s="790"/>
      <c r="E23" s="785"/>
      <c r="F23" s="786"/>
      <c r="G23" s="789">
        <v>6</v>
      </c>
      <c r="H23" s="790">
        <v>271</v>
      </c>
      <c r="I23" s="789">
        <v>3</v>
      </c>
      <c r="J23" s="790">
        <v>177</v>
      </c>
      <c r="K23" s="794">
        <f t="shared" si="6"/>
        <v>9</v>
      </c>
      <c r="L23" s="784">
        <f t="shared" si="7"/>
        <v>448</v>
      </c>
      <c r="M23" s="792"/>
      <c r="N23" s="802"/>
    </row>
    <row r="24" spans="1:14" s="42" customFormat="1" ht="25.5" customHeight="1">
      <c r="A24" s="1909"/>
      <c r="B24" s="240" t="s">
        <v>117</v>
      </c>
      <c r="C24" s="785"/>
      <c r="D24" s="786"/>
      <c r="E24" s="785"/>
      <c r="F24" s="786"/>
      <c r="G24" s="785">
        <v>28</v>
      </c>
      <c r="H24" s="786">
        <v>2825</v>
      </c>
      <c r="I24" s="785">
        <v>6</v>
      </c>
      <c r="J24" s="786">
        <v>1428</v>
      </c>
      <c r="K24" s="791">
        <f t="shared" si="6"/>
        <v>34</v>
      </c>
      <c r="L24" s="784">
        <f t="shared" si="7"/>
        <v>4253</v>
      </c>
      <c r="M24" s="788">
        <v>4</v>
      </c>
      <c r="N24" s="801">
        <f>19+13+9+26</f>
        <v>67</v>
      </c>
    </row>
    <row r="25" spans="1:14" s="42" customFormat="1" ht="25.5" customHeight="1">
      <c r="A25" s="1909"/>
      <c r="B25" s="240" t="s">
        <v>54</v>
      </c>
      <c r="C25" s="785"/>
      <c r="D25" s="786"/>
      <c r="E25" s="785"/>
      <c r="F25" s="786"/>
      <c r="G25" s="785">
        <v>2</v>
      </c>
      <c r="H25" s="786">
        <v>132</v>
      </c>
      <c r="I25" s="785">
        <v>1</v>
      </c>
      <c r="J25" s="786">
        <v>90</v>
      </c>
      <c r="K25" s="791">
        <f t="shared" si="6"/>
        <v>3</v>
      </c>
      <c r="L25" s="784">
        <f t="shared" si="7"/>
        <v>222</v>
      </c>
      <c r="M25" s="788"/>
      <c r="N25" s="801"/>
    </row>
    <row r="26" spans="1:14" s="42" customFormat="1" ht="25.5" customHeight="1">
      <c r="A26" s="1909"/>
      <c r="B26" s="240" t="s">
        <v>118</v>
      </c>
      <c r="C26" s="785"/>
      <c r="D26" s="786"/>
      <c r="E26" s="785"/>
      <c r="F26" s="786"/>
      <c r="G26" s="785">
        <v>6</v>
      </c>
      <c r="H26" s="786">
        <v>366</v>
      </c>
      <c r="I26" s="785">
        <v>2</v>
      </c>
      <c r="J26" s="786">
        <v>240</v>
      </c>
      <c r="K26" s="791">
        <f t="shared" si="6"/>
        <v>8</v>
      </c>
      <c r="L26" s="784">
        <f t="shared" si="7"/>
        <v>606</v>
      </c>
      <c r="M26" s="788"/>
      <c r="N26" s="801"/>
    </row>
    <row r="27" spans="1:14" s="42" customFormat="1" ht="25.5" customHeight="1" thickBot="1">
      <c r="A27" s="1909"/>
      <c r="B27" s="1046" t="s">
        <v>120</v>
      </c>
      <c r="C27" s="1047"/>
      <c r="D27" s="1048"/>
      <c r="E27" s="1047">
        <v>1</v>
      </c>
      <c r="F27" s="1048">
        <v>40</v>
      </c>
      <c r="G27" s="1047">
        <v>12</v>
      </c>
      <c r="H27" s="1048">
        <v>689</v>
      </c>
      <c r="I27" s="1047">
        <v>4</v>
      </c>
      <c r="J27" s="1048">
        <v>479</v>
      </c>
      <c r="K27" s="1052">
        <f t="shared" si="6"/>
        <v>17</v>
      </c>
      <c r="L27" s="1050">
        <f t="shared" si="7"/>
        <v>1208</v>
      </c>
      <c r="M27" s="1051">
        <v>1</v>
      </c>
      <c r="N27" s="1079">
        <v>37</v>
      </c>
    </row>
    <row r="28" spans="1:14" s="42" customFormat="1" ht="25.5" customHeight="1" thickBot="1" thickTop="1">
      <c r="A28" s="1910"/>
      <c r="B28" s="1062" t="s">
        <v>218</v>
      </c>
      <c r="C28" s="797">
        <f aca="true" t="shared" si="8" ref="C28:N28">SUM(C19:C27)</f>
        <v>2</v>
      </c>
      <c r="D28" s="803">
        <f t="shared" si="8"/>
        <v>94</v>
      </c>
      <c r="E28" s="797">
        <f t="shared" si="8"/>
        <v>2</v>
      </c>
      <c r="F28" s="803">
        <f t="shared" si="8"/>
        <v>70</v>
      </c>
      <c r="G28" s="797">
        <f t="shared" si="8"/>
        <v>94</v>
      </c>
      <c r="H28" s="803">
        <f>SUM(H19:H27)</f>
        <v>9174</v>
      </c>
      <c r="I28" s="797">
        <f t="shared" si="8"/>
        <v>38</v>
      </c>
      <c r="J28" s="803">
        <f t="shared" si="8"/>
        <v>5644</v>
      </c>
      <c r="K28" s="797">
        <f>SUM(K19:K27)</f>
        <v>136</v>
      </c>
      <c r="L28" s="798">
        <f>SUM(L19:L27)</f>
        <v>14982</v>
      </c>
      <c r="M28" s="804">
        <f t="shared" si="8"/>
        <v>19</v>
      </c>
      <c r="N28" s="805">
        <f t="shared" si="8"/>
        <v>448</v>
      </c>
    </row>
    <row r="29" spans="5:6" ht="13.5">
      <c r="E29" s="2166" t="s">
        <v>986</v>
      </c>
      <c r="F29" s="2166"/>
    </row>
  </sheetData>
  <sheetProtection/>
  <mergeCells count="14">
    <mergeCell ref="G3:H3"/>
    <mergeCell ref="I3:J3"/>
    <mergeCell ref="K3:L3"/>
    <mergeCell ref="M3:N3"/>
    <mergeCell ref="A5:B5"/>
    <mergeCell ref="A6:A11"/>
    <mergeCell ref="A12:A18"/>
    <mergeCell ref="E29:F29"/>
    <mergeCell ref="A19:A28"/>
    <mergeCell ref="A1:N1"/>
    <mergeCell ref="A2:N2"/>
    <mergeCell ref="A3:B4"/>
    <mergeCell ref="C3:D3"/>
    <mergeCell ref="E3:F3"/>
  </mergeCells>
  <printOptions/>
  <pageMargins left="0.7086614173228347" right="0.1968503937007874" top="0.6692913385826772" bottom="0.1968503937007874" header="0.7874015748031497" footer="0.3937007874015748"/>
  <pageSetup firstPageNumber="38" useFirstPageNumber="1" horizontalDpi="600" verticalDpi="600" orientation="portrait" paperSize="9" scale="103" r:id="rId2"/>
  <headerFooter scaleWithDoc="0" alignWithMargins="0">
    <oddFooter>&amp;C&amp;12&amp;P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1"/>
  <sheetViews>
    <sheetView showZeros="0" view="pageBreakPreview" zoomScale="120" zoomScaleSheetLayoutView="120" zoomScalePageLayoutView="0" workbookViewId="0" topLeftCell="A1">
      <selection activeCell="N6" sqref="N6"/>
    </sheetView>
  </sheetViews>
  <sheetFormatPr defaultColWidth="9.00390625" defaultRowHeight="13.5"/>
  <cols>
    <col min="1" max="1" width="22.625" style="0" customWidth="1"/>
    <col min="2" max="3" width="11.625" style="0" customWidth="1"/>
    <col min="4" max="4" width="22.625" style="0" customWidth="1"/>
    <col min="5" max="6" width="11.625" style="0" customWidth="1"/>
  </cols>
  <sheetData>
    <row r="1" spans="1:14" s="18" customFormat="1" ht="24.75" customHeight="1">
      <c r="A1" s="893" t="s">
        <v>222</v>
      </c>
      <c r="B1" s="401"/>
      <c r="C1" s="401"/>
      <c r="D1" s="401"/>
      <c r="E1" s="401"/>
      <c r="F1" s="401"/>
      <c r="G1" s="85"/>
      <c r="H1" s="85"/>
      <c r="I1" s="85"/>
      <c r="J1" s="85"/>
      <c r="K1" s="85"/>
      <c r="L1" s="85"/>
      <c r="M1" s="85"/>
      <c r="N1" s="85"/>
    </row>
    <row r="2" spans="1:14" s="41" customFormat="1" ht="18" customHeight="1" thickBot="1">
      <c r="A2" s="402" t="s">
        <v>876</v>
      </c>
      <c r="B2" s="239"/>
      <c r="C2" s="239"/>
      <c r="D2" s="239"/>
      <c r="E2" s="239"/>
      <c r="F2" s="239"/>
      <c r="G2" s="87"/>
      <c r="H2" s="87"/>
      <c r="I2" s="87"/>
      <c r="J2" s="87"/>
      <c r="K2" s="87"/>
      <c r="L2" s="87"/>
      <c r="M2" s="87"/>
      <c r="N2" s="86"/>
    </row>
    <row r="3" spans="1:14" s="41" customFormat="1" ht="21" customHeight="1">
      <c r="A3" s="2190" t="s">
        <v>635</v>
      </c>
      <c r="B3" s="2192" t="s">
        <v>636</v>
      </c>
      <c r="C3" s="2193"/>
      <c r="D3" s="2181" t="s">
        <v>635</v>
      </c>
      <c r="E3" s="2192" t="s">
        <v>636</v>
      </c>
      <c r="F3" s="2193"/>
      <c r="G3" s="86"/>
      <c r="H3" s="86"/>
      <c r="I3" s="86"/>
      <c r="J3" s="86"/>
      <c r="K3" s="86"/>
      <c r="L3" s="86"/>
      <c r="M3" s="86"/>
      <c r="N3" s="86"/>
    </row>
    <row r="4" spans="1:14" s="41" customFormat="1" ht="21" customHeight="1" thickBot="1">
      <c r="A4" s="2191"/>
      <c r="B4" s="403" t="s">
        <v>637</v>
      </c>
      <c r="C4" s="404" t="s">
        <v>638</v>
      </c>
      <c r="D4" s="2183"/>
      <c r="E4" s="403" t="s">
        <v>639</v>
      </c>
      <c r="F4" s="404" t="s">
        <v>638</v>
      </c>
      <c r="G4" s="86"/>
      <c r="H4" s="86"/>
      <c r="I4" s="86"/>
      <c r="J4" s="86"/>
      <c r="K4" s="86"/>
      <c r="L4" s="86"/>
      <c r="M4" s="86"/>
      <c r="N4" s="86"/>
    </row>
    <row r="5" spans="1:14" s="41" customFormat="1" ht="21.75" customHeight="1">
      <c r="A5" s="405" t="s">
        <v>640</v>
      </c>
      <c r="B5" s="2194">
        <v>681</v>
      </c>
      <c r="C5" s="2195"/>
      <c r="D5" s="405" t="s">
        <v>641</v>
      </c>
      <c r="E5" s="811">
        <v>884</v>
      </c>
      <c r="F5" s="815"/>
      <c r="G5" s="86"/>
      <c r="H5" s="86"/>
      <c r="I5" s="86"/>
      <c r="J5" s="86"/>
      <c r="K5" s="86"/>
      <c r="L5" s="86"/>
      <c r="M5" s="86"/>
      <c r="N5" s="86"/>
    </row>
    <row r="6" spans="1:14" s="41" customFormat="1" ht="21.75" customHeight="1">
      <c r="A6" s="238" t="s">
        <v>642</v>
      </c>
      <c r="B6" s="806">
        <v>803</v>
      </c>
      <c r="C6" s="816"/>
      <c r="D6" s="238" t="s">
        <v>643</v>
      </c>
      <c r="E6" s="806">
        <v>136</v>
      </c>
      <c r="F6" s="816"/>
      <c r="G6" s="86"/>
      <c r="H6" s="86"/>
      <c r="I6" s="86"/>
      <c r="J6" s="86"/>
      <c r="K6" s="86"/>
      <c r="L6" s="86"/>
      <c r="M6" s="86"/>
      <c r="N6" s="86"/>
    </row>
    <row r="7" spans="1:14" s="41" customFormat="1" ht="21.75" customHeight="1">
      <c r="A7" s="238" t="s">
        <v>644</v>
      </c>
      <c r="B7" s="806">
        <v>299</v>
      </c>
      <c r="C7" s="816"/>
      <c r="D7" s="238" t="s">
        <v>645</v>
      </c>
      <c r="E7" s="806">
        <v>131</v>
      </c>
      <c r="F7" s="816"/>
      <c r="G7" s="86"/>
      <c r="H7" s="86"/>
      <c r="I7" s="86"/>
      <c r="J7" s="86"/>
      <c r="K7" s="86"/>
      <c r="L7" s="86"/>
      <c r="M7" s="86"/>
      <c r="N7" s="86"/>
    </row>
    <row r="8" spans="1:14" s="41" customFormat="1" ht="21.75" customHeight="1">
      <c r="A8" s="238" t="s">
        <v>646</v>
      </c>
      <c r="B8" s="806">
        <v>831</v>
      </c>
      <c r="C8" s="816"/>
      <c r="D8" s="238" t="s">
        <v>647</v>
      </c>
      <c r="E8" s="806">
        <v>677</v>
      </c>
      <c r="F8" s="816"/>
      <c r="G8" s="86"/>
      <c r="H8" s="86"/>
      <c r="I8" s="86"/>
      <c r="J8" s="86"/>
      <c r="K8" s="86"/>
      <c r="L8" s="86"/>
      <c r="M8" s="86"/>
      <c r="N8" s="86"/>
    </row>
    <row r="9" spans="1:14" s="41" customFormat="1" ht="21.75" customHeight="1">
      <c r="A9" s="238" t="s">
        <v>648</v>
      </c>
      <c r="B9" s="2179">
        <v>839</v>
      </c>
      <c r="C9" s="2180"/>
      <c r="D9" s="238" t="s">
        <v>649</v>
      </c>
      <c r="E9" s="806">
        <v>927</v>
      </c>
      <c r="F9" s="816"/>
      <c r="G9" s="86"/>
      <c r="H9" s="86"/>
      <c r="I9" s="86"/>
      <c r="J9" s="86"/>
      <c r="K9" s="86"/>
      <c r="L9" s="86"/>
      <c r="M9" s="86"/>
      <c r="N9" s="86"/>
    </row>
    <row r="10" spans="1:14" s="41" customFormat="1" ht="21.75" customHeight="1">
      <c r="A10" s="238" t="s">
        <v>650</v>
      </c>
      <c r="B10" s="806">
        <v>379</v>
      </c>
      <c r="C10" s="816"/>
      <c r="D10" s="406" t="s">
        <v>651</v>
      </c>
      <c r="E10" s="809">
        <v>593</v>
      </c>
      <c r="F10" s="817"/>
      <c r="G10" s="86"/>
      <c r="H10" s="86"/>
      <c r="I10" s="86"/>
      <c r="J10" s="86"/>
      <c r="K10" s="86"/>
      <c r="L10" s="86"/>
      <c r="M10" s="86"/>
      <c r="N10" s="86"/>
    </row>
    <row r="11" spans="1:14" s="41" customFormat="1" ht="21.75" customHeight="1">
      <c r="A11" s="238" t="s">
        <v>652</v>
      </c>
      <c r="B11" s="806">
        <v>574</v>
      </c>
      <c r="C11" s="816"/>
      <c r="D11" s="407" t="s">
        <v>653</v>
      </c>
      <c r="E11" s="810"/>
      <c r="F11" s="818">
        <v>30</v>
      </c>
      <c r="G11" s="86"/>
      <c r="H11" s="86"/>
      <c r="I11" s="86"/>
      <c r="J11" s="86"/>
      <c r="K11" s="86"/>
      <c r="L11" s="86"/>
      <c r="M11" s="86"/>
      <c r="N11" s="86"/>
    </row>
    <row r="12" spans="1:14" s="41" customFormat="1" ht="21.75" customHeight="1">
      <c r="A12" s="238" t="s">
        <v>654</v>
      </c>
      <c r="B12" s="806">
        <v>472</v>
      </c>
      <c r="C12" s="816"/>
      <c r="D12" s="405" t="s">
        <v>655</v>
      </c>
      <c r="E12" s="811">
        <v>233</v>
      </c>
      <c r="F12" s="815"/>
      <c r="G12" s="86"/>
      <c r="H12" s="86"/>
      <c r="I12" s="86"/>
      <c r="J12" s="86"/>
      <c r="K12" s="86"/>
      <c r="L12" s="86"/>
      <c r="M12" s="86"/>
      <c r="N12" s="86"/>
    </row>
    <row r="13" spans="1:14" s="41" customFormat="1" ht="21.75" customHeight="1">
      <c r="A13" s="238" t="s">
        <v>656</v>
      </c>
      <c r="B13" s="806">
        <v>855</v>
      </c>
      <c r="C13" s="816">
        <v>51</v>
      </c>
      <c r="D13" s="238" t="s">
        <v>657</v>
      </c>
      <c r="E13" s="807">
        <v>138</v>
      </c>
      <c r="F13" s="816"/>
      <c r="G13" s="86"/>
      <c r="H13" s="86"/>
      <c r="I13" s="86"/>
      <c r="J13" s="86"/>
      <c r="K13" s="86"/>
      <c r="L13" s="86"/>
      <c r="M13" s="86"/>
      <c r="N13" s="86"/>
    </row>
    <row r="14" spans="1:14" s="41" customFormat="1" ht="21.75" customHeight="1">
      <c r="A14" s="238" t="s">
        <v>658</v>
      </c>
      <c r="B14" s="806">
        <v>331</v>
      </c>
      <c r="C14" s="816"/>
      <c r="D14" s="238" t="s">
        <v>659</v>
      </c>
      <c r="E14" s="806">
        <v>323</v>
      </c>
      <c r="F14" s="816"/>
      <c r="G14" s="239"/>
      <c r="H14" s="239"/>
      <c r="I14" s="239"/>
      <c r="J14" s="86"/>
      <c r="K14" s="86"/>
      <c r="L14" s="86"/>
      <c r="M14" s="86"/>
      <c r="N14" s="86"/>
    </row>
    <row r="15" spans="1:14" s="41" customFormat="1" ht="21.75" customHeight="1">
      <c r="A15" s="238" t="s">
        <v>660</v>
      </c>
      <c r="B15" s="807">
        <v>461</v>
      </c>
      <c r="C15" s="816"/>
      <c r="D15" s="238" t="s">
        <v>661</v>
      </c>
      <c r="E15" s="2179">
        <v>622</v>
      </c>
      <c r="F15" s="2180"/>
      <c r="G15" s="86"/>
      <c r="H15" s="86"/>
      <c r="I15" s="86"/>
      <c r="J15" s="86"/>
      <c r="K15" s="86"/>
      <c r="L15" s="86"/>
      <c r="M15" s="86"/>
      <c r="N15" s="86"/>
    </row>
    <row r="16" spans="1:14" s="41" customFormat="1" ht="21.75" customHeight="1">
      <c r="A16" s="238" t="s">
        <v>662</v>
      </c>
      <c r="B16" s="806">
        <v>290</v>
      </c>
      <c r="C16" s="816"/>
      <c r="D16" s="238" t="s">
        <v>663</v>
      </c>
      <c r="E16" s="806">
        <v>255</v>
      </c>
      <c r="F16" s="816"/>
      <c r="G16" s="86"/>
      <c r="H16" s="86"/>
      <c r="I16" s="86"/>
      <c r="J16" s="86"/>
      <c r="K16" s="86"/>
      <c r="L16" s="86"/>
      <c r="M16" s="86"/>
      <c r="N16" s="86"/>
    </row>
    <row r="17" spans="1:14" s="41" customFormat="1" ht="21.75" customHeight="1">
      <c r="A17" s="238" t="s">
        <v>664</v>
      </c>
      <c r="B17" s="806">
        <v>369</v>
      </c>
      <c r="C17" s="816"/>
      <c r="D17" s="238" t="s">
        <v>665</v>
      </c>
      <c r="E17" s="806">
        <v>369</v>
      </c>
      <c r="F17" s="816"/>
      <c r="G17" s="86"/>
      <c r="H17" s="86"/>
      <c r="I17" s="86"/>
      <c r="J17" s="86"/>
      <c r="K17" s="86"/>
      <c r="L17" s="86"/>
      <c r="M17" s="86"/>
      <c r="N17" s="86"/>
    </row>
    <row r="18" spans="1:14" s="41" customFormat="1" ht="21.75" customHeight="1">
      <c r="A18" s="405" t="s">
        <v>666</v>
      </c>
      <c r="B18" s="808">
        <v>852</v>
      </c>
      <c r="C18" s="815"/>
      <c r="D18" s="238" t="s">
        <v>667</v>
      </c>
      <c r="E18" s="806">
        <v>123</v>
      </c>
      <c r="F18" s="816"/>
      <c r="G18" s="86"/>
      <c r="H18" s="86"/>
      <c r="I18" s="86"/>
      <c r="J18" s="86"/>
      <c r="K18" s="86"/>
      <c r="L18" s="86"/>
      <c r="M18" s="86"/>
      <c r="N18" s="86"/>
    </row>
    <row r="19" spans="1:14" s="41" customFormat="1" ht="21.75" customHeight="1">
      <c r="A19" s="238" t="s">
        <v>668</v>
      </c>
      <c r="B19" s="806">
        <v>968</v>
      </c>
      <c r="C19" s="816">
        <v>31</v>
      </c>
      <c r="D19" s="238" t="s">
        <v>669</v>
      </c>
      <c r="E19" s="806">
        <v>109</v>
      </c>
      <c r="F19" s="816"/>
      <c r="G19" s="86"/>
      <c r="H19" s="86"/>
      <c r="I19" s="86"/>
      <c r="J19" s="86"/>
      <c r="K19" s="86"/>
      <c r="L19" s="86"/>
      <c r="M19" s="86"/>
      <c r="N19" s="86"/>
    </row>
    <row r="20" spans="1:14" s="41" customFormat="1" ht="21.75" customHeight="1">
      <c r="A20" s="406" t="s">
        <v>670</v>
      </c>
      <c r="B20" s="809">
        <v>760</v>
      </c>
      <c r="C20" s="817"/>
      <c r="D20" s="238" t="s">
        <v>671</v>
      </c>
      <c r="E20" s="806">
        <v>254</v>
      </c>
      <c r="F20" s="816"/>
      <c r="G20" s="86"/>
      <c r="H20" s="86"/>
      <c r="I20" s="86"/>
      <c r="J20" s="86"/>
      <c r="K20" s="86"/>
      <c r="L20" s="86"/>
      <c r="M20" s="86"/>
      <c r="N20" s="86"/>
    </row>
    <row r="21" spans="1:14" s="41" customFormat="1" ht="21.75" customHeight="1">
      <c r="A21" s="406" t="s">
        <v>672</v>
      </c>
      <c r="B21" s="809">
        <v>875</v>
      </c>
      <c r="C21" s="817"/>
      <c r="D21" s="406" t="s">
        <v>673</v>
      </c>
      <c r="E21" s="809">
        <v>250</v>
      </c>
      <c r="F21" s="817"/>
      <c r="G21" s="86"/>
      <c r="H21" s="86"/>
      <c r="I21" s="86"/>
      <c r="J21" s="86"/>
      <c r="K21" s="86"/>
      <c r="L21" s="86"/>
      <c r="M21" s="86"/>
      <c r="N21" s="86"/>
    </row>
    <row r="22" spans="1:14" s="41" customFormat="1" ht="21.75" customHeight="1">
      <c r="A22" s="407" t="s">
        <v>674</v>
      </c>
      <c r="B22" s="810">
        <v>86</v>
      </c>
      <c r="C22" s="818"/>
      <c r="D22" s="238" t="s">
        <v>675</v>
      </c>
      <c r="E22" s="806">
        <v>857</v>
      </c>
      <c r="F22" s="816">
        <v>44</v>
      </c>
      <c r="G22" s="86"/>
      <c r="H22" s="86"/>
      <c r="I22" s="86"/>
      <c r="J22" s="86"/>
      <c r="K22" s="86"/>
      <c r="L22" s="86"/>
      <c r="M22" s="86"/>
      <c r="N22" s="86"/>
    </row>
    <row r="23" spans="1:14" s="41" customFormat="1" ht="21.75" customHeight="1">
      <c r="A23" s="405" t="s">
        <v>676</v>
      </c>
      <c r="B23" s="811">
        <v>593</v>
      </c>
      <c r="C23" s="815"/>
      <c r="D23" s="238" t="s">
        <v>677</v>
      </c>
      <c r="E23" s="806">
        <v>831</v>
      </c>
      <c r="F23" s="816"/>
      <c r="G23" s="86"/>
      <c r="H23" s="86"/>
      <c r="I23" s="86"/>
      <c r="J23" s="86"/>
      <c r="K23" s="86"/>
      <c r="L23" s="86"/>
      <c r="M23" s="86"/>
      <c r="N23" s="86"/>
    </row>
    <row r="24" spans="1:16" s="41" customFormat="1" ht="21.75" customHeight="1">
      <c r="A24" s="238" t="s">
        <v>678</v>
      </c>
      <c r="B24" s="806">
        <v>124</v>
      </c>
      <c r="C24" s="816"/>
      <c r="D24" s="406" t="s">
        <v>679</v>
      </c>
      <c r="E24" s="809">
        <v>223</v>
      </c>
      <c r="F24" s="817"/>
      <c r="G24" s="86"/>
      <c r="H24" s="86"/>
      <c r="I24" s="86"/>
      <c r="J24" s="86"/>
      <c r="K24" s="86"/>
      <c r="L24" s="86"/>
      <c r="M24" s="86"/>
      <c r="N24" s="86"/>
      <c r="P24" s="42"/>
    </row>
    <row r="25" spans="1:14" s="41" customFormat="1" ht="21.75" customHeight="1">
      <c r="A25" s="408" t="s">
        <v>680</v>
      </c>
      <c r="B25" s="812">
        <v>90</v>
      </c>
      <c r="C25" s="1254"/>
      <c r="D25" s="238" t="s">
        <v>681</v>
      </c>
      <c r="E25" s="806">
        <v>442</v>
      </c>
      <c r="F25" s="816"/>
      <c r="G25" s="86"/>
      <c r="H25" s="86"/>
      <c r="I25" s="86"/>
      <c r="J25" s="86"/>
      <c r="K25" s="86"/>
      <c r="L25" s="86"/>
      <c r="M25" s="86"/>
      <c r="N25" s="86"/>
    </row>
    <row r="26" spans="1:14" s="41" customFormat="1" ht="21.75" customHeight="1">
      <c r="A26" s="238" t="s">
        <v>682</v>
      </c>
      <c r="B26" s="806">
        <v>412</v>
      </c>
      <c r="C26" s="816"/>
      <c r="D26" s="238" t="s">
        <v>683</v>
      </c>
      <c r="E26" s="806">
        <v>114</v>
      </c>
      <c r="F26" s="816"/>
      <c r="G26" s="86"/>
      <c r="H26" s="86"/>
      <c r="I26" s="86"/>
      <c r="J26" s="86"/>
      <c r="K26" s="86"/>
      <c r="L26" s="86"/>
      <c r="M26" s="86"/>
      <c r="N26" s="86"/>
    </row>
    <row r="27" spans="1:14" s="41" customFormat="1" ht="21.75" customHeight="1">
      <c r="A27" s="238" t="s">
        <v>684</v>
      </c>
      <c r="B27" s="806">
        <v>1134</v>
      </c>
      <c r="C27" s="816"/>
      <c r="D27" s="406" t="s">
        <v>685</v>
      </c>
      <c r="E27" s="809">
        <v>324</v>
      </c>
      <c r="F27" s="817"/>
      <c r="G27" s="86"/>
      <c r="H27" s="86"/>
      <c r="I27" s="86"/>
      <c r="J27" s="86"/>
      <c r="K27" s="86"/>
      <c r="L27" s="86"/>
      <c r="M27" s="86"/>
      <c r="N27" s="86"/>
    </row>
    <row r="28" spans="1:14" s="41" customFormat="1" ht="21.75" customHeight="1">
      <c r="A28" s="238" t="s">
        <v>686</v>
      </c>
      <c r="B28" s="806">
        <v>933</v>
      </c>
      <c r="C28" s="816"/>
      <c r="D28" s="406" t="s">
        <v>687</v>
      </c>
      <c r="E28" s="809">
        <v>129</v>
      </c>
      <c r="F28" s="817"/>
      <c r="G28" s="86"/>
      <c r="H28" s="86"/>
      <c r="I28" s="86"/>
      <c r="J28" s="86"/>
      <c r="K28" s="86"/>
      <c r="L28" s="86"/>
      <c r="M28" s="86"/>
      <c r="N28" s="86"/>
    </row>
    <row r="29" spans="1:14" s="41" customFormat="1" ht="21.75" customHeight="1" thickBot="1">
      <c r="A29" s="409" t="s">
        <v>688</v>
      </c>
      <c r="B29" s="813">
        <v>1147</v>
      </c>
      <c r="C29" s="1255">
        <v>78</v>
      </c>
      <c r="D29" s="1258" t="s">
        <v>689</v>
      </c>
      <c r="E29" s="814">
        <v>414</v>
      </c>
      <c r="F29" s="1257"/>
      <c r="G29" s="86"/>
      <c r="H29" s="86"/>
      <c r="I29" s="86"/>
      <c r="J29" s="86"/>
      <c r="K29" s="86"/>
      <c r="L29" s="86"/>
      <c r="M29" s="86"/>
      <c r="N29" s="86"/>
    </row>
    <row r="30" spans="1:14" s="41" customFormat="1" ht="21.75" customHeight="1">
      <c r="A30" s="407" t="s">
        <v>690</v>
      </c>
      <c r="B30" s="810">
        <v>131</v>
      </c>
      <c r="C30" s="818"/>
      <c r="D30" s="2181" t="s">
        <v>742</v>
      </c>
      <c r="E30" s="2184">
        <f>SUM(B5:C35,E5:F29)</f>
        <v>29397</v>
      </c>
      <c r="F30" s="2185"/>
      <c r="G30" s="86"/>
      <c r="H30" s="86"/>
      <c r="I30" s="86"/>
      <c r="J30" s="86"/>
      <c r="K30" s="86"/>
      <c r="L30" s="86"/>
      <c r="M30" s="86"/>
      <c r="N30" s="86"/>
    </row>
    <row r="31" spans="1:14" s="41" customFormat="1" ht="21.75" customHeight="1">
      <c r="A31" s="410" t="s">
        <v>691</v>
      </c>
      <c r="B31" s="807">
        <v>1125</v>
      </c>
      <c r="C31" s="1256"/>
      <c r="D31" s="2182"/>
      <c r="E31" s="2186"/>
      <c r="F31" s="2187"/>
      <c r="G31" s="87"/>
      <c r="H31" s="86"/>
      <c r="I31" s="86"/>
      <c r="J31" s="86"/>
      <c r="K31" s="86"/>
      <c r="L31" s="86"/>
      <c r="M31" s="86"/>
      <c r="N31" s="86"/>
    </row>
    <row r="32" spans="1:14" s="41" customFormat="1" ht="21.75" customHeight="1">
      <c r="A32" s="407" t="s">
        <v>692</v>
      </c>
      <c r="B32" s="810">
        <v>63</v>
      </c>
      <c r="C32" s="818"/>
      <c r="D32" s="2182"/>
      <c r="E32" s="2186"/>
      <c r="F32" s="2187"/>
      <c r="G32" s="162"/>
      <c r="H32" s="162"/>
      <c r="I32" s="162"/>
      <c r="J32" s="86"/>
      <c r="K32" s="86"/>
      <c r="L32" s="86"/>
      <c r="M32" s="86"/>
      <c r="N32" s="86"/>
    </row>
    <row r="33" spans="1:14" s="41" customFormat="1" ht="21.75" customHeight="1">
      <c r="A33" s="405" t="s">
        <v>693</v>
      </c>
      <c r="B33" s="811">
        <v>1100</v>
      </c>
      <c r="C33" s="815"/>
      <c r="D33" s="2182"/>
      <c r="E33" s="2186"/>
      <c r="F33" s="2187"/>
      <c r="G33" s="162"/>
      <c r="H33" s="86"/>
      <c r="I33" s="86"/>
      <c r="J33" s="86"/>
      <c r="K33" s="86"/>
      <c r="L33" s="86"/>
      <c r="M33" s="86"/>
      <c r="N33" s="86"/>
    </row>
    <row r="34" spans="1:14" s="41" customFormat="1" ht="21.75" customHeight="1">
      <c r="A34" s="411" t="s">
        <v>694</v>
      </c>
      <c r="B34" s="809">
        <v>1030</v>
      </c>
      <c r="C34" s="817">
        <v>52</v>
      </c>
      <c r="D34" s="2182"/>
      <c r="E34" s="2186"/>
      <c r="F34" s="2187"/>
      <c r="G34" s="86"/>
      <c r="H34" s="86"/>
      <c r="I34" s="86"/>
      <c r="J34" s="86"/>
      <c r="K34" s="86"/>
      <c r="L34" s="86"/>
      <c r="M34" s="86"/>
      <c r="N34" s="86"/>
    </row>
    <row r="35" spans="1:14" s="41" customFormat="1" ht="21.75" customHeight="1" thickBot="1">
      <c r="A35" s="412" t="s">
        <v>695</v>
      </c>
      <c r="B35" s="814">
        <v>1124</v>
      </c>
      <c r="C35" s="1257">
        <v>22</v>
      </c>
      <c r="D35" s="2183"/>
      <c r="E35" s="2188"/>
      <c r="F35" s="2189"/>
      <c r="G35" s="86"/>
      <c r="H35" s="86"/>
      <c r="I35" s="86"/>
      <c r="J35" s="86"/>
      <c r="K35" s="86"/>
      <c r="L35" s="86"/>
      <c r="M35" s="86"/>
      <c r="N35" s="86"/>
    </row>
    <row r="36" s="41" customFormat="1" ht="18.75" customHeight="1">
      <c r="D36" s="41" t="s">
        <v>743</v>
      </c>
    </row>
    <row r="37" s="41" customFormat="1" ht="13.5">
      <c r="G37" s="163"/>
    </row>
    <row r="38" s="41" customFormat="1" ht="13.5"/>
    <row r="39" s="41" customFormat="1" ht="13.5"/>
    <row r="40" s="41" customFormat="1" ht="13.5">
      <c r="G40" s="163"/>
    </row>
    <row r="41" s="41" customFormat="1" ht="13.5"/>
    <row r="42" s="41" customFormat="1" ht="13.5"/>
    <row r="43" spans="4:6" s="41" customFormat="1" ht="13.5">
      <c r="D43" s="163"/>
      <c r="F43" s="163"/>
    </row>
    <row r="44" s="41" customFormat="1" ht="13.5"/>
    <row r="45" s="41" customFormat="1" ht="13.5"/>
    <row r="46" s="41" customFormat="1" ht="13.5"/>
    <row r="47" s="41" customFormat="1" ht="13.5"/>
    <row r="48" s="41" customFormat="1" ht="13.5"/>
    <row r="49" spans="1:3" s="41" customFormat="1" ht="13.5">
      <c r="A49"/>
      <c r="B49"/>
      <c r="C49"/>
    </row>
    <row r="50" spans="1:3" s="41" customFormat="1" ht="13.5">
      <c r="A50"/>
      <c r="B50"/>
      <c r="C50"/>
    </row>
    <row r="51" spans="1:3" s="41" customFormat="1" ht="13.5">
      <c r="A51"/>
      <c r="B51"/>
      <c r="C51"/>
    </row>
  </sheetData>
  <sheetProtection/>
  <mergeCells count="9">
    <mergeCell ref="B9:C9"/>
    <mergeCell ref="E15:F15"/>
    <mergeCell ref="D30:D35"/>
    <mergeCell ref="E30:F35"/>
    <mergeCell ref="A3:A4"/>
    <mergeCell ref="B3:C3"/>
    <mergeCell ref="D3:D4"/>
    <mergeCell ref="E3:F3"/>
    <mergeCell ref="B5:C5"/>
  </mergeCells>
  <printOptions/>
  <pageMargins left="0.7086614173228347" right="0.1968503937007874" top="0.6692913385826772" bottom="0.1968503937007874" header="0.7874015748031497" footer="0.3937007874015748"/>
  <pageSetup firstPageNumber="39" useFirstPageNumber="1" horizontalDpi="600" verticalDpi="600" orientation="portrait" paperSize="9" r:id="rId2"/>
  <headerFooter scaleWithDoc="0" alignWithMargins="0">
    <oddFooter>&amp;C&amp;12&amp;P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5"/>
  <sheetViews>
    <sheetView showZeros="0" view="pageBreakPreview" zoomScale="140" zoomScaleSheetLayoutView="140" zoomScalePageLayoutView="0" workbookViewId="0" topLeftCell="A1">
      <selection activeCell="N6" sqref="N6"/>
    </sheetView>
  </sheetViews>
  <sheetFormatPr defaultColWidth="9.00390625" defaultRowHeight="13.5"/>
  <cols>
    <col min="1" max="1" width="35.125" style="18" customWidth="1"/>
    <col min="2" max="5" width="14.00390625" style="18" customWidth="1"/>
    <col min="6" max="16384" width="9.00390625" style="18" customWidth="1"/>
  </cols>
  <sheetData>
    <row r="1" spans="1:14" ht="24.75" customHeight="1">
      <c r="A1" s="893" t="s">
        <v>222</v>
      </c>
      <c r="B1" s="401"/>
      <c r="C1" s="401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6" s="42" customFormat="1" ht="20.25" customHeight="1" thickBot="1">
      <c r="A2" s="391" t="s">
        <v>1071</v>
      </c>
      <c r="B2" s="391"/>
      <c r="C2" s="23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s="42" customFormat="1" ht="15" customHeight="1">
      <c r="A3" s="2198" t="s">
        <v>231</v>
      </c>
      <c r="B3" s="2109"/>
      <c r="C3" s="413" t="s">
        <v>232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s="42" customFormat="1" ht="15" customHeight="1">
      <c r="A4" s="2199" t="s">
        <v>249</v>
      </c>
      <c r="B4" s="2200"/>
      <c r="C4" s="1053">
        <v>127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s="42" customFormat="1" ht="15" customHeight="1">
      <c r="A5" s="2199" t="s">
        <v>250</v>
      </c>
      <c r="B5" s="2200"/>
      <c r="C5" s="1053">
        <v>92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3" s="42" customFormat="1" ht="15" customHeight="1">
      <c r="A6" s="2196" t="s">
        <v>252</v>
      </c>
      <c r="B6" s="2197"/>
      <c r="C6" s="1053">
        <v>319</v>
      </c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s="42" customFormat="1" ht="15" customHeight="1">
      <c r="A7" s="2199" t="s">
        <v>1068</v>
      </c>
      <c r="B7" s="2200"/>
      <c r="C7" s="1053">
        <v>628</v>
      </c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s="42" customFormat="1" ht="15" customHeight="1">
      <c r="A8" s="2199" t="s">
        <v>1067</v>
      </c>
      <c r="B8" s="2200"/>
      <c r="C8" s="1053">
        <v>70</v>
      </c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s="42" customFormat="1" ht="15" customHeight="1">
      <c r="A9" s="2199" t="s">
        <v>251</v>
      </c>
      <c r="B9" s="2200"/>
      <c r="C9" s="1053">
        <v>397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3" s="42" customFormat="1" ht="15" customHeight="1">
      <c r="A10" s="2196" t="s">
        <v>253</v>
      </c>
      <c r="B10" s="2197"/>
      <c r="C10" s="1054">
        <v>388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 s="42" customFormat="1" ht="15" customHeight="1">
      <c r="A11" s="2199" t="s">
        <v>1069</v>
      </c>
      <c r="B11" s="2213"/>
      <c r="C11" s="1134">
        <v>387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s="42" customFormat="1" ht="15" customHeight="1" thickBot="1">
      <c r="A12" s="2203" t="s">
        <v>1070</v>
      </c>
      <c r="B12" s="2204"/>
      <c r="C12" s="1133">
        <v>85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6" s="42" customFormat="1" ht="15" customHeight="1" thickBot="1" thickTop="1">
      <c r="A13" s="2201" t="s">
        <v>96</v>
      </c>
      <c r="B13" s="2202"/>
      <c r="C13" s="1055">
        <f>SUM(C4:C12)</f>
        <v>2493</v>
      </c>
      <c r="E13" s="63"/>
      <c r="F13" s="63"/>
    </row>
    <row r="14" spans="1:6" s="42" customFormat="1" ht="27" customHeight="1">
      <c r="A14" s="1137"/>
      <c r="B14" s="1137"/>
      <c r="C14" s="1138"/>
      <c r="E14" s="63"/>
      <c r="F14" s="63"/>
    </row>
    <row r="15" spans="1:14" s="42" customFormat="1" ht="22.5" customHeight="1" thickBot="1">
      <c r="A15" s="391" t="s">
        <v>1072</v>
      </c>
      <c r="B15" s="391"/>
      <c r="C15" s="39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3" s="42" customFormat="1" ht="15" customHeight="1">
      <c r="A16" s="2205" t="s">
        <v>231</v>
      </c>
      <c r="B16" s="2206"/>
      <c r="C16" s="413" t="s">
        <v>232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s="42" customFormat="1" ht="15" customHeight="1">
      <c r="A17" s="2196" t="s">
        <v>233</v>
      </c>
      <c r="B17" s="2197"/>
      <c r="C17" s="816">
        <v>217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3" s="42" customFormat="1" ht="15" customHeight="1">
      <c r="A18" s="2196" t="s">
        <v>234</v>
      </c>
      <c r="B18" s="2197"/>
      <c r="C18" s="816">
        <v>257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s="42" customFormat="1" ht="15" customHeight="1">
      <c r="A19" s="2196" t="s">
        <v>235</v>
      </c>
      <c r="B19" s="2197"/>
      <c r="C19" s="816">
        <v>137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s="42" customFormat="1" ht="15" customHeight="1">
      <c r="A20" s="2196" t="s">
        <v>236</v>
      </c>
      <c r="B20" s="2197"/>
      <c r="C20" s="815">
        <v>230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1:13" s="42" customFormat="1" ht="15" customHeight="1">
      <c r="A21" s="2196" t="s">
        <v>237</v>
      </c>
      <c r="B21" s="2197"/>
      <c r="C21" s="816">
        <v>1634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s="42" customFormat="1" ht="15" customHeight="1">
      <c r="A22" s="2196" t="s">
        <v>238</v>
      </c>
      <c r="B22" s="2197"/>
      <c r="C22" s="816">
        <v>458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s="42" customFormat="1" ht="15" customHeight="1">
      <c r="A23" s="2196" t="s">
        <v>239</v>
      </c>
      <c r="B23" s="2197"/>
      <c r="C23" s="816">
        <v>655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6" s="42" customFormat="1" ht="15" customHeight="1">
      <c r="A24" s="2196" t="s">
        <v>240</v>
      </c>
      <c r="B24" s="2197"/>
      <c r="C24" s="816">
        <v>1326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s="42" customFormat="1" ht="15" customHeight="1">
      <c r="A25" s="2196" t="s">
        <v>241</v>
      </c>
      <c r="B25" s="2197"/>
      <c r="C25" s="816">
        <v>1087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1:16" s="42" customFormat="1" ht="15" customHeight="1">
      <c r="A26" s="2196" t="s">
        <v>242</v>
      </c>
      <c r="B26" s="2197"/>
      <c r="C26" s="816">
        <v>97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6" s="42" customFormat="1" ht="15" customHeight="1">
      <c r="A27" s="2196" t="s">
        <v>243</v>
      </c>
      <c r="B27" s="2197"/>
      <c r="C27" s="815">
        <v>323</v>
      </c>
      <c r="D27" s="237"/>
      <c r="E27" s="237"/>
      <c r="F27" s="237"/>
      <c r="G27" s="237"/>
      <c r="H27" s="237"/>
      <c r="I27" s="237"/>
      <c r="J27" s="82"/>
      <c r="K27" s="82"/>
      <c r="L27" s="82"/>
      <c r="M27" s="82"/>
      <c r="N27" s="82"/>
      <c r="O27" s="82"/>
      <c r="P27" s="82"/>
    </row>
    <row r="28" spans="1:16" s="42" customFormat="1" ht="15" customHeight="1">
      <c r="A28" s="2196" t="s">
        <v>244</v>
      </c>
      <c r="B28" s="2197"/>
      <c r="C28" s="816">
        <v>1677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</row>
    <row r="29" spans="1:16" s="42" customFormat="1" ht="15" customHeight="1">
      <c r="A29" s="2196" t="s">
        <v>245</v>
      </c>
      <c r="B29" s="2197"/>
      <c r="C29" s="816">
        <v>758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 s="42" customFormat="1" ht="15" customHeight="1">
      <c r="A30" s="2196" t="s">
        <v>779</v>
      </c>
      <c r="B30" s="2197"/>
      <c r="C30" s="816">
        <v>1396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s="42" customFormat="1" ht="15" customHeight="1">
      <c r="A31" s="2196" t="s">
        <v>246</v>
      </c>
      <c r="B31" s="2197"/>
      <c r="C31" s="816">
        <v>300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s="42" customFormat="1" ht="15" customHeight="1">
      <c r="A32" s="2196" t="s">
        <v>247</v>
      </c>
      <c r="B32" s="2197"/>
      <c r="C32" s="816">
        <v>18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 s="42" customFormat="1" ht="15" customHeight="1" thickBot="1">
      <c r="A33" s="2211" t="s">
        <v>248</v>
      </c>
      <c r="B33" s="2212"/>
      <c r="C33" s="1056">
        <v>27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s="42" customFormat="1" ht="15" customHeight="1" thickBot="1" thickTop="1">
      <c r="A34" s="2201" t="s">
        <v>96</v>
      </c>
      <c r="B34" s="2202"/>
      <c r="C34" s="1055">
        <f>SUM(C17:C33)</f>
        <v>10597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6" s="42" customFormat="1" ht="27" customHeight="1">
      <c r="A35" s="414"/>
      <c r="B35" s="414"/>
      <c r="C35" s="414"/>
      <c r="E35" s="63"/>
      <c r="F35" s="63"/>
    </row>
    <row r="36" spans="1:3" s="42" customFormat="1" ht="15" customHeight="1" thickBot="1">
      <c r="A36" s="415" t="s">
        <v>871</v>
      </c>
      <c r="B36" s="415"/>
      <c r="C36" s="414"/>
    </row>
    <row r="37" spans="1:3" s="42" customFormat="1" ht="15" customHeight="1">
      <c r="A37" s="2207" t="s">
        <v>254</v>
      </c>
      <c r="B37" s="2209" t="s">
        <v>987</v>
      </c>
      <c r="C37" s="2210"/>
    </row>
    <row r="38" spans="1:3" s="42" customFormat="1" ht="30" customHeight="1">
      <c r="A38" s="2208"/>
      <c r="B38" s="416" t="s">
        <v>255</v>
      </c>
      <c r="C38" s="417" t="s">
        <v>232</v>
      </c>
    </row>
    <row r="39" spans="1:3" s="42" customFormat="1" ht="30" customHeight="1">
      <c r="A39" s="1057" t="s">
        <v>1066</v>
      </c>
      <c r="B39" s="700">
        <v>396</v>
      </c>
      <c r="C39" s="701">
        <v>90729</v>
      </c>
    </row>
    <row r="40" spans="1:3" s="42" customFormat="1" ht="30" customHeight="1">
      <c r="A40" s="1057" t="s">
        <v>1065</v>
      </c>
      <c r="B40" s="700">
        <v>60</v>
      </c>
      <c r="C40" s="701">
        <v>2345</v>
      </c>
    </row>
    <row r="41" spans="1:3" s="42" customFormat="1" ht="30" customHeight="1">
      <c r="A41" s="1057" t="s">
        <v>256</v>
      </c>
      <c r="B41" s="700">
        <v>62</v>
      </c>
      <c r="C41" s="701">
        <v>29397</v>
      </c>
    </row>
    <row r="42" spans="1:3" s="42" customFormat="1" ht="30" customHeight="1">
      <c r="A42" s="1057" t="s">
        <v>257</v>
      </c>
      <c r="B42" s="700">
        <v>9</v>
      </c>
      <c r="C42" s="701">
        <f>C13</f>
        <v>2493</v>
      </c>
    </row>
    <row r="43" spans="1:3" s="42" customFormat="1" ht="30" customHeight="1" thickBot="1">
      <c r="A43" s="1136" t="s">
        <v>258</v>
      </c>
      <c r="B43" s="926">
        <v>17</v>
      </c>
      <c r="C43" s="927">
        <f>C34</f>
        <v>10597</v>
      </c>
    </row>
    <row r="44" spans="1:3" s="42" customFormat="1" ht="15" thickBot="1" thickTop="1">
      <c r="A44" s="1135" t="s">
        <v>96</v>
      </c>
      <c r="B44" s="757">
        <f>SUM(B39:B43)</f>
        <v>544</v>
      </c>
      <c r="C44" s="1139">
        <f>SUM(C39:C43)</f>
        <v>135561</v>
      </c>
    </row>
    <row r="45" spans="1:3" ht="13.5">
      <c r="A45" s="42"/>
      <c r="B45" s="42"/>
      <c r="C45" s="42"/>
    </row>
  </sheetData>
  <sheetProtection/>
  <mergeCells count="32">
    <mergeCell ref="A9:B9"/>
    <mergeCell ref="A34:B34"/>
    <mergeCell ref="A30:B30"/>
    <mergeCell ref="A32:B32"/>
    <mergeCell ref="A31:B31"/>
    <mergeCell ref="A17:B17"/>
    <mergeCell ref="A11:B11"/>
    <mergeCell ref="A20:B20"/>
    <mergeCell ref="A26:B26"/>
    <mergeCell ref="A27:B27"/>
    <mergeCell ref="A37:A38"/>
    <mergeCell ref="B37:C37"/>
    <mergeCell ref="A29:B29"/>
    <mergeCell ref="A33:B33"/>
    <mergeCell ref="A24:B24"/>
    <mergeCell ref="A22:B22"/>
    <mergeCell ref="A12:B12"/>
    <mergeCell ref="A18:B18"/>
    <mergeCell ref="A19:B19"/>
    <mergeCell ref="A28:B28"/>
    <mergeCell ref="A23:B23"/>
    <mergeCell ref="A16:B16"/>
    <mergeCell ref="A6:B6"/>
    <mergeCell ref="A21:B21"/>
    <mergeCell ref="A25:B25"/>
    <mergeCell ref="A3:B3"/>
    <mergeCell ref="A4:B4"/>
    <mergeCell ref="A7:B7"/>
    <mergeCell ref="A5:B5"/>
    <mergeCell ref="A10:B10"/>
    <mergeCell ref="A8:B8"/>
    <mergeCell ref="A13:B13"/>
  </mergeCells>
  <printOptions/>
  <pageMargins left="1.4960629921259843" right="0.1968503937007874" top="0.6692913385826772" bottom="0.1968503937007874" header="0.7874015748031497" footer="0.3937007874015748"/>
  <pageSetup firstPageNumber="40" useFirstPageNumber="1" horizontalDpi="600" verticalDpi="600" orientation="portrait" paperSize="9" r:id="rId1"/>
  <headerFooter scaleWithDoc="0" alignWithMargins="0">
    <oddFooter>&amp;C&amp;12&amp;P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20" zoomScaleNormal="75" zoomScaleSheetLayoutView="120" zoomScalePageLayoutView="0" workbookViewId="0" topLeftCell="A1">
      <selection activeCell="N6" sqref="N6"/>
    </sheetView>
  </sheetViews>
  <sheetFormatPr defaultColWidth="9.00390625" defaultRowHeight="13.5"/>
  <cols>
    <col min="1" max="1" width="3.125" style="42" customWidth="1"/>
    <col min="2" max="2" width="11.125" style="42" customWidth="1"/>
    <col min="3" max="3" width="7.625" style="42" customWidth="1"/>
    <col min="4" max="4" width="9.125" style="42" customWidth="1"/>
    <col min="5" max="5" width="50.00390625" style="42" customWidth="1"/>
    <col min="6" max="16384" width="9.00390625" style="42" customWidth="1"/>
  </cols>
  <sheetData>
    <row r="1" spans="1:10" ht="28.5" customHeight="1">
      <c r="A1" s="2122" t="s">
        <v>220</v>
      </c>
      <c r="B1" s="2123"/>
      <c r="C1" s="1529" t="s">
        <v>1075</v>
      </c>
      <c r="D1" s="1529" t="s">
        <v>1076</v>
      </c>
      <c r="E1" s="2133" t="s">
        <v>213</v>
      </c>
      <c r="F1" s="82"/>
      <c r="G1" s="82"/>
      <c r="H1" s="82"/>
      <c r="I1" s="82"/>
      <c r="J1" s="82"/>
    </row>
    <row r="2" spans="1:10" ht="28.5" customHeight="1" thickBot="1">
      <c r="A2" s="2124"/>
      <c r="B2" s="2125"/>
      <c r="C2" s="2218"/>
      <c r="D2" s="2218"/>
      <c r="E2" s="2134"/>
      <c r="F2" s="82"/>
      <c r="G2" s="82"/>
      <c r="H2" s="82"/>
      <c r="I2" s="82"/>
      <c r="J2" s="82"/>
    </row>
    <row r="3" spans="1:10" ht="27.75" customHeight="1" thickBot="1">
      <c r="A3" s="2214" t="s">
        <v>194</v>
      </c>
      <c r="B3" s="2215"/>
      <c r="C3" s="819" t="s">
        <v>1059</v>
      </c>
      <c r="D3" s="819" t="s">
        <v>1060</v>
      </c>
      <c r="E3" s="460"/>
      <c r="F3" s="82"/>
      <c r="G3" s="82"/>
      <c r="H3" s="82"/>
      <c r="I3" s="82"/>
      <c r="J3" s="82"/>
    </row>
    <row r="4" spans="1:10" ht="27.75" customHeight="1">
      <c r="A4" s="2216" t="s">
        <v>216</v>
      </c>
      <c r="B4" s="461" t="s">
        <v>93</v>
      </c>
      <c r="C4" s="1130">
        <v>9</v>
      </c>
      <c r="D4" s="1130">
        <v>129</v>
      </c>
      <c r="E4" s="462" t="s">
        <v>1074</v>
      </c>
      <c r="F4" s="83"/>
      <c r="G4" s="83"/>
      <c r="H4" s="83"/>
      <c r="I4" s="82"/>
      <c r="J4" s="82"/>
    </row>
    <row r="5" spans="1:10" ht="27.75" customHeight="1">
      <c r="A5" s="1356"/>
      <c r="B5" s="463" t="s">
        <v>97</v>
      </c>
      <c r="C5" s="1131" t="s">
        <v>797</v>
      </c>
      <c r="D5" s="1131" t="s">
        <v>988</v>
      </c>
      <c r="E5" s="464" t="s">
        <v>770</v>
      </c>
      <c r="F5" s="209"/>
      <c r="G5" s="83"/>
      <c r="H5" s="83"/>
      <c r="I5" s="82"/>
      <c r="J5" s="82"/>
    </row>
    <row r="6" spans="1:10" ht="27.75" customHeight="1">
      <c r="A6" s="1356"/>
      <c r="B6" s="463" t="s">
        <v>39</v>
      </c>
      <c r="C6" s="820">
        <v>4</v>
      </c>
      <c r="D6" s="820">
        <v>245</v>
      </c>
      <c r="E6" s="464" t="s">
        <v>1073</v>
      </c>
      <c r="F6" s="210"/>
      <c r="G6" s="83"/>
      <c r="H6" s="83"/>
      <c r="I6" s="82"/>
      <c r="J6" s="82"/>
    </row>
    <row r="7" spans="1:10" ht="27.75" customHeight="1">
      <c r="A7" s="1356"/>
      <c r="B7" s="465" t="s">
        <v>100</v>
      </c>
      <c r="C7" s="821">
        <v>5</v>
      </c>
      <c r="D7" s="821">
        <v>69</v>
      </c>
      <c r="E7" s="466" t="s">
        <v>1056</v>
      </c>
      <c r="F7" s="209"/>
      <c r="G7" s="83"/>
      <c r="H7" s="83"/>
      <c r="I7" s="82"/>
      <c r="J7" s="82"/>
    </row>
    <row r="8" spans="1:10" ht="27.75" customHeight="1" thickBot="1">
      <c r="A8" s="1356"/>
      <c r="B8" s="1042" t="s">
        <v>101</v>
      </c>
      <c r="C8" s="1259" t="s">
        <v>872</v>
      </c>
      <c r="D8" s="1259"/>
      <c r="E8" s="1031"/>
      <c r="F8" s="209"/>
      <c r="G8" s="83"/>
      <c r="H8" s="83"/>
      <c r="I8" s="82"/>
      <c r="J8" s="82"/>
    </row>
    <row r="9" spans="1:10" ht="27.75" customHeight="1" thickBot="1" thickTop="1">
      <c r="A9" s="1357"/>
      <c r="B9" s="441" t="s">
        <v>196</v>
      </c>
      <c r="C9" s="822" t="s">
        <v>1057</v>
      </c>
      <c r="D9" s="822" t="s">
        <v>1058</v>
      </c>
      <c r="E9" s="467"/>
      <c r="F9" s="209"/>
      <c r="G9" s="83"/>
      <c r="H9" s="83"/>
      <c r="I9" s="82"/>
      <c r="J9" s="82"/>
    </row>
    <row r="10" spans="1:10" ht="27.75" customHeight="1">
      <c r="A10" s="2216" t="s">
        <v>197</v>
      </c>
      <c r="B10" s="465" t="s">
        <v>103</v>
      </c>
      <c r="C10" s="1132" t="s">
        <v>808</v>
      </c>
      <c r="D10" s="1132" t="s">
        <v>990</v>
      </c>
      <c r="E10" s="466" t="s">
        <v>809</v>
      </c>
      <c r="F10" s="209"/>
      <c r="G10" s="83"/>
      <c r="H10" s="83"/>
      <c r="I10" s="82"/>
      <c r="J10" s="82"/>
    </row>
    <row r="11" spans="1:10" ht="27.75" customHeight="1">
      <c r="A11" s="1356"/>
      <c r="B11" s="463" t="s">
        <v>104</v>
      </c>
      <c r="C11" s="820">
        <v>3</v>
      </c>
      <c r="D11" s="820">
        <v>76</v>
      </c>
      <c r="E11" s="464" t="s">
        <v>810</v>
      </c>
      <c r="F11" s="209"/>
      <c r="G11" s="83"/>
      <c r="H11" s="83"/>
      <c r="I11" s="82"/>
      <c r="J11" s="82"/>
    </row>
    <row r="12" spans="1:10" ht="27.75" customHeight="1">
      <c r="A12" s="1356"/>
      <c r="B12" s="463" t="s">
        <v>105</v>
      </c>
      <c r="C12" s="820">
        <v>1</v>
      </c>
      <c r="D12" s="820">
        <v>36</v>
      </c>
      <c r="E12" s="464" t="s">
        <v>756</v>
      </c>
      <c r="F12" s="209"/>
      <c r="G12" s="83"/>
      <c r="H12" s="83"/>
      <c r="I12" s="82"/>
      <c r="J12" s="82"/>
    </row>
    <row r="13" spans="1:10" ht="27.75" customHeight="1">
      <c r="A13" s="1356"/>
      <c r="B13" s="463" t="s">
        <v>42</v>
      </c>
      <c r="C13" s="820">
        <v>1</v>
      </c>
      <c r="D13" s="820">
        <v>19</v>
      </c>
      <c r="E13" s="464" t="s">
        <v>776</v>
      </c>
      <c r="F13" s="236"/>
      <c r="G13" s="1129"/>
      <c r="H13" s="1129"/>
      <c r="I13" s="237"/>
      <c r="J13" s="82"/>
    </row>
    <row r="14" spans="1:10" ht="27.75" customHeight="1">
      <c r="A14" s="1356"/>
      <c r="B14" s="463" t="s">
        <v>108</v>
      </c>
      <c r="C14" s="1131">
        <v>3</v>
      </c>
      <c r="D14" s="820">
        <v>55</v>
      </c>
      <c r="E14" s="464" t="s">
        <v>777</v>
      </c>
      <c r="F14" s="209"/>
      <c r="G14" s="83"/>
      <c r="H14" s="83"/>
      <c r="I14" s="82"/>
      <c r="J14" s="82"/>
    </row>
    <row r="15" spans="1:10" ht="27.75" customHeight="1" thickBot="1">
      <c r="A15" s="1356"/>
      <c r="B15" s="1042" t="s">
        <v>109</v>
      </c>
      <c r="C15" s="1259">
        <v>2</v>
      </c>
      <c r="D15" s="1259">
        <v>33</v>
      </c>
      <c r="E15" s="1031" t="s">
        <v>991</v>
      </c>
      <c r="F15" s="209"/>
      <c r="G15" s="83"/>
      <c r="H15" s="83"/>
      <c r="I15" s="82"/>
      <c r="J15" s="82"/>
    </row>
    <row r="16" spans="1:10" ht="27.75" customHeight="1" thickBot="1" thickTop="1">
      <c r="A16" s="1357"/>
      <c r="B16" s="441" t="s">
        <v>218</v>
      </c>
      <c r="C16" s="822" t="s">
        <v>995</v>
      </c>
      <c r="D16" s="822" t="s">
        <v>996</v>
      </c>
      <c r="E16" s="467"/>
      <c r="F16" s="209"/>
      <c r="G16" s="83"/>
      <c r="H16" s="83"/>
      <c r="I16" s="82"/>
      <c r="J16" s="82"/>
    </row>
    <row r="17" spans="1:10" s="63" customFormat="1" ht="27.75" customHeight="1">
      <c r="A17" s="2216" t="s">
        <v>198</v>
      </c>
      <c r="B17" s="468" t="s">
        <v>111</v>
      </c>
      <c r="C17" s="1131" t="s">
        <v>799</v>
      </c>
      <c r="D17" s="1130" t="s">
        <v>812</v>
      </c>
      <c r="E17" s="462" t="s">
        <v>851</v>
      </c>
      <c r="F17" s="209"/>
      <c r="G17" s="83"/>
      <c r="H17" s="83"/>
      <c r="I17" s="83"/>
      <c r="J17" s="83"/>
    </row>
    <row r="18" spans="1:10" s="63" customFormat="1" ht="27.75" customHeight="1">
      <c r="A18" s="1356"/>
      <c r="B18" s="463" t="s">
        <v>112</v>
      </c>
      <c r="C18" s="1131" t="s">
        <v>798</v>
      </c>
      <c r="D18" s="1131" t="s">
        <v>992</v>
      </c>
      <c r="E18" s="464" t="s">
        <v>778</v>
      </c>
      <c r="F18" s="209"/>
      <c r="G18" s="83"/>
      <c r="H18" s="83"/>
      <c r="I18" s="83"/>
      <c r="J18" s="83"/>
    </row>
    <row r="19" spans="1:10" s="63" customFormat="1" ht="27.75" customHeight="1">
      <c r="A19" s="1356"/>
      <c r="B19" s="463" t="s">
        <v>113</v>
      </c>
      <c r="C19" s="820">
        <v>3</v>
      </c>
      <c r="D19" s="820">
        <v>93</v>
      </c>
      <c r="E19" s="464" t="s">
        <v>813</v>
      </c>
      <c r="F19" s="209"/>
      <c r="G19" s="83"/>
      <c r="H19" s="83"/>
      <c r="I19" s="83"/>
      <c r="J19" s="83"/>
    </row>
    <row r="20" spans="1:10" s="63" customFormat="1" ht="27.75" customHeight="1">
      <c r="A20" s="1356"/>
      <c r="B20" s="463" t="s">
        <v>115</v>
      </c>
      <c r="C20" s="1131" t="s">
        <v>997</v>
      </c>
      <c r="D20" s="1131" t="s">
        <v>993</v>
      </c>
      <c r="E20" s="464" t="s">
        <v>811</v>
      </c>
      <c r="F20" s="209"/>
      <c r="G20" s="83"/>
      <c r="H20" s="83"/>
      <c r="I20" s="83"/>
      <c r="J20" s="83"/>
    </row>
    <row r="21" spans="1:10" s="63" customFormat="1" ht="27.75" customHeight="1">
      <c r="A21" s="1356"/>
      <c r="B21" s="463" t="s">
        <v>116</v>
      </c>
      <c r="C21" s="820"/>
      <c r="D21" s="820"/>
      <c r="E21" s="464"/>
      <c r="F21" s="209"/>
      <c r="G21" s="83"/>
      <c r="H21" s="83"/>
      <c r="I21" s="83"/>
      <c r="J21" s="83"/>
    </row>
    <row r="22" spans="1:10" s="63" customFormat="1" ht="27.75" customHeight="1">
      <c r="A22" s="1356"/>
      <c r="B22" s="465" t="s">
        <v>117</v>
      </c>
      <c r="C22" s="1132" t="s">
        <v>815</v>
      </c>
      <c r="D22" s="1132" t="s">
        <v>994</v>
      </c>
      <c r="E22" s="464" t="s">
        <v>814</v>
      </c>
      <c r="F22" s="209"/>
      <c r="G22" s="83"/>
      <c r="H22" s="83"/>
      <c r="I22" s="83"/>
      <c r="J22" s="83"/>
    </row>
    <row r="23" spans="1:10" s="63" customFormat="1" ht="27.75" customHeight="1">
      <c r="A23" s="1356"/>
      <c r="B23" s="463" t="s">
        <v>54</v>
      </c>
      <c r="C23" s="823"/>
      <c r="D23" s="820"/>
      <c r="E23" s="464"/>
      <c r="F23" s="209"/>
      <c r="G23" s="83"/>
      <c r="H23" s="83"/>
      <c r="I23" s="83"/>
      <c r="J23" s="83"/>
    </row>
    <row r="24" spans="1:10" s="63" customFormat="1" ht="27.75" customHeight="1">
      <c r="A24" s="1356"/>
      <c r="B24" s="463" t="s">
        <v>118</v>
      </c>
      <c r="C24" s="823"/>
      <c r="D24" s="820"/>
      <c r="E24" s="464"/>
      <c r="F24" s="209"/>
      <c r="G24" s="83"/>
      <c r="H24" s="83"/>
      <c r="I24" s="83"/>
      <c r="J24" s="83"/>
    </row>
    <row r="25" spans="1:10" s="63" customFormat="1" ht="27.75" customHeight="1" thickBot="1">
      <c r="A25" s="1356"/>
      <c r="B25" s="1042" t="s">
        <v>120</v>
      </c>
      <c r="C25" s="1259"/>
      <c r="D25" s="1259"/>
      <c r="E25" s="1031"/>
      <c r="F25" s="83"/>
      <c r="G25" s="83"/>
      <c r="H25" s="83"/>
      <c r="I25" s="83"/>
      <c r="J25" s="83"/>
    </row>
    <row r="26" spans="1:10" s="63" customFormat="1" ht="27.75" customHeight="1" thickBot="1" thickTop="1">
      <c r="A26" s="1357"/>
      <c r="B26" s="441" t="s">
        <v>218</v>
      </c>
      <c r="C26" s="822" t="s">
        <v>848</v>
      </c>
      <c r="D26" s="822" t="s">
        <v>998</v>
      </c>
      <c r="E26" s="467"/>
      <c r="F26" s="83"/>
      <c r="G26" s="83"/>
      <c r="H26" s="83"/>
      <c r="I26" s="83"/>
      <c r="J26" s="83"/>
    </row>
    <row r="27" spans="1:5" ht="24" customHeight="1">
      <c r="A27" s="2217" t="s">
        <v>989</v>
      </c>
      <c r="B27" s="2217"/>
      <c r="C27" s="2217"/>
      <c r="D27" s="2217"/>
      <c r="E27" s="2217"/>
    </row>
  </sheetData>
  <sheetProtection/>
  <mergeCells count="9">
    <mergeCell ref="A3:B3"/>
    <mergeCell ref="A4:A9"/>
    <mergeCell ref="A10:A16"/>
    <mergeCell ref="A17:A26"/>
    <mergeCell ref="A27:E27"/>
    <mergeCell ref="A1:B2"/>
    <mergeCell ref="C1:C2"/>
    <mergeCell ref="D1:D2"/>
    <mergeCell ref="E1:E2"/>
  </mergeCells>
  <printOptions/>
  <pageMargins left="0.8267716535433072" right="0.1968503937007874" top="1" bottom="0.1968503937007874" header="0.68" footer="0.3937007874015748"/>
  <pageSetup firstPageNumber="41" useFirstPageNumber="1" horizontalDpi="600" verticalDpi="600" orientation="portrait" paperSize="9" scale="97" r:id="rId1"/>
  <headerFooter scaleWithDoc="0" alignWithMargins="0">
    <oddHeader>&amp;L&amp;"ＭＳ Ｐゴシック,太字"20　おやじの会の状況</oddHeader>
    <oddFooter>&amp;C&amp;12&amp;P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89"/>
  <sheetViews>
    <sheetView view="pageBreakPreview" zoomScale="110" zoomScaleSheetLayoutView="110" zoomScalePageLayoutView="0" workbookViewId="0" topLeftCell="A1">
      <pane ySplit="3" topLeftCell="A4" activePane="bottomLeft" state="frozen"/>
      <selection pane="topLeft" activeCell="N6" sqref="N6"/>
      <selection pane="bottomLeft" activeCell="N6" sqref="N6"/>
    </sheetView>
  </sheetViews>
  <sheetFormatPr defaultColWidth="9.00390625" defaultRowHeight="12.75" customHeight="1"/>
  <cols>
    <col min="1" max="1" width="20.00390625" style="139" customWidth="1"/>
    <col min="2" max="2" width="9.125" style="138" customWidth="1"/>
    <col min="3" max="3" width="18.875" style="139" customWidth="1"/>
    <col min="4" max="4" width="17.875" style="139" customWidth="1"/>
    <col min="5" max="5" width="7.875" style="142" bestFit="1" customWidth="1"/>
    <col min="6" max="6" width="16.25390625" style="140" customWidth="1"/>
    <col min="7" max="8" width="12.625" style="139" customWidth="1"/>
    <col min="9" max="16384" width="9.00390625" style="139" customWidth="1"/>
  </cols>
  <sheetData>
    <row r="1" spans="1:8" ht="12.75" customHeight="1">
      <c r="A1" s="418" t="s">
        <v>534</v>
      </c>
      <c r="B1" s="419"/>
      <c r="C1" s="235"/>
      <c r="D1" s="235"/>
      <c r="E1" s="235"/>
      <c r="F1" s="420"/>
      <c r="G1" s="235"/>
      <c r="H1" s="235"/>
    </row>
    <row r="2" spans="1:8" ht="16.5" customHeight="1" thickBot="1">
      <c r="A2" s="235" t="s">
        <v>379</v>
      </c>
      <c r="B2" s="419"/>
      <c r="C2" s="235"/>
      <c r="D2" s="235"/>
      <c r="E2" s="235"/>
      <c r="F2" s="420"/>
      <c r="G2" s="235"/>
      <c r="H2" s="235"/>
    </row>
    <row r="3" spans="1:8" ht="37.5" customHeight="1" thickBot="1">
      <c r="A3" s="421" t="s">
        <v>380</v>
      </c>
      <c r="B3" s="422" t="s">
        <v>381</v>
      </c>
      <c r="C3" s="422" t="s">
        <v>382</v>
      </c>
      <c r="D3" s="422" t="s">
        <v>383</v>
      </c>
      <c r="E3" s="422" t="s">
        <v>384</v>
      </c>
      <c r="F3" s="423" t="s">
        <v>385</v>
      </c>
      <c r="G3" s="424" t="s">
        <v>386</v>
      </c>
      <c r="H3" s="425" t="s">
        <v>999</v>
      </c>
    </row>
    <row r="4" spans="1:8" ht="33" customHeight="1">
      <c r="A4" s="2256" t="s">
        <v>387</v>
      </c>
      <c r="B4" s="443" t="s">
        <v>388</v>
      </c>
      <c r="C4" s="444" t="s">
        <v>389</v>
      </c>
      <c r="D4" s="444" t="s">
        <v>535</v>
      </c>
      <c r="E4" s="445" t="s">
        <v>536</v>
      </c>
      <c r="F4" s="2261" t="s">
        <v>817</v>
      </c>
      <c r="G4" s="446"/>
      <c r="H4" s="447"/>
    </row>
    <row r="5" spans="1:8" ht="40.5" customHeight="1">
      <c r="A5" s="2238"/>
      <c r="B5" s="448" t="s">
        <v>390</v>
      </c>
      <c r="C5" s="449" t="s">
        <v>748</v>
      </c>
      <c r="D5" s="450" t="s">
        <v>391</v>
      </c>
      <c r="E5" s="451" t="s">
        <v>537</v>
      </c>
      <c r="F5" s="2252"/>
      <c r="G5" s="824">
        <v>11</v>
      </c>
      <c r="H5" s="825">
        <v>200213</v>
      </c>
    </row>
    <row r="6" spans="1:8" ht="16.5" customHeight="1">
      <c r="A6" s="2239"/>
      <c r="B6" s="452"/>
      <c r="C6" s="453"/>
      <c r="D6" s="452"/>
      <c r="E6" s="454"/>
      <c r="F6" s="455" t="s">
        <v>780</v>
      </c>
      <c r="G6" s="826"/>
      <c r="H6" s="827"/>
    </row>
    <row r="7" spans="1:8" ht="31.5" customHeight="1">
      <c r="A7" s="2237" t="s">
        <v>392</v>
      </c>
      <c r="B7" s="456" t="s">
        <v>388</v>
      </c>
      <c r="C7" s="444" t="s">
        <v>393</v>
      </c>
      <c r="D7" s="444" t="s">
        <v>538</v>
      </c>
      <c r="E7" s="445" t="s">
        <v>539</v>
      </c>
      <c r="F7" s="2261" t="s">
        <v>817</v>
      </c>
      <c r="G7" s="828"/>
      <c r="H7" s="829"/>
    </row>
    <row r="8" spans="1:8" ht="43.5" customHeight="1">
      <c r="A8" s="2238"/>
      <c r="B8" s="457" t="s">
        <v>750</v>
      </c>
      <c r="C8" s="450" t="s">
        <v>394</v>
      </c>
      <c r="D8" s="449" t="s">
        <v>749</v>
      </c>
      <c r="E8" s="451" t="s">
        <v>540</v>
      </c>
      <c r="F8" s="2252"/>
      <c r="G8" s="824">
        <v>11</v>
      </c>
      <c r="H8" s="825">
        <v>130354</v>
      </c>
    </row>
    <row r="9" spans="1:8" ht="16.5" customHeight="1">
      <c r="A9" s="2239"/>
      <c r="B9" s="452"/>
      <c r="C9" s="453"/>
      <c r="D9" s="458"/>
      <c r="E9" s="454"/>
      <c r="F9" s="455" t="s">
        <v>780</v>
      </c>
      <c r="G9" s="826"/>
      <c r="H9" s="827"/>
    </row>
    <row r="10" spans="1:8" ht="16.5" customHeight="1">
      <c r="A10" s="2262" t="s">
        <v>395</v>
      </c>
      <c r="B10" s="456" t="s">
        <v>388</v>
      </c>
      <c r="C10" s="444" t="s">
        <v>396</v>
      </c>
      <c r="D10" s="444" t="s">
        <v>541</v>
      </c>
      <c r="E10" s="445" t="s">
        <v>542</v>
      </c>
      <c r="F10" s="2251" t="s">
        <v>781</v>
      </c>
      <c r="G10" s="828"/>
      <c r="H10" s="830"/>
    </row>
    <row r="11" spans="1:8" ht="51.75" customHeight="1">
      <c r="A11" s="2238"/>
      <c r="B11" s="448" t="s">
        <v>397</v>
      </c>
      <c r="C11" s="450"/>
      <c r="D11" s="450" t="s">
        <v>398</v>
      </c>
      <c r="E11" s="451" t="s">
        <v>543</v>
      </c>
      <c r="F11" s="2252"/>
      <c r="G11" s="824">
        <v>11</v>
      </c>
      <c r="H11" s="825">
        <v>464808</v>
      </c>
    </row>
    <row r="12" spans="1:8" ht="16.5" customHeight="1">
      <c r="A12" s="2239"/>
      <c r="B12" s="459"/>
      <c r="C12" s="444"/>
      <c r="D12" s="453"/>
      <c r="E12" s="454"/>
      <c r="F12" s="523" t="s">
        <v>544</v>
      </c>
      <c r="G12" s="826"/>
      <c r="H12" s="827"/>
    </row>
    <row r="13" spans="1:8" ht="16.5" customHeight="1">
      <c r="A13" s="2237" t="s">
        <v>784</v>
      </c>
      <c r="B13" s="456" t="s">
        <v>400</v>
      </c>
      <c r="C13" s="598" t="s">
        <v>1034</v>
      </c>
      <c r="D13" s="526" t="s">
        <v>785</v>
      </c>
      <c r="E13" s="527" t="s">
        <v>536</v>
      </c>
      <c r="F13" s="2225" t="s">
        <v>1036</v>
      </c>
      <c r="G13" s="828"/>
      <c r="H13" s="830"/>
    </row>
    <row r="14" spans="1:8" ht="16.5" customHeight="1">
      <c r="A14" s="2238"/>
      <c r="B14" s="459" t="s">
        <v>1013</v>
      </c>
      <c r="C14" s="599" t="s">
        <v>1035</v>
      </c>
      <c r="D14" s="444" t="s">
        <v>786</v>
      </c>
      <c r="E14" s="445" t="s">
        <v>831</v>
      </c>
      <c r="F14" s="2226"/>
      <c r="G14" s="831">
        <v>4</v>
      </c>
      <c r="H14" s="830">
        <v>104873</v>
      </c>
    </row>
    <row r="15" spans="1:8" ht="16.5" customHeight="1">
      <c r="A15" s="2239"/>
      <c r="B15" s="452"/>
      <c r="C15" s="600"/>
      <c r="D15" s="452" t="s">
        <v>787</v>
      </c>
      <c r="E15" s="454"/>
      <c r="F15" s="2227"/>
      <c r="G15" s="826"/>
      <c r="H15" s="827"/>
    </row>
    <row r="16" spans="1:8" ht="16.5" customHeight="1">
      <c r="A16" s="2237" t="s">
        <v>450</v>
      </c>
      <c r="B16" s="456" t="s">
        <v>430</v>
      </c>
      <c r="C16" s="526" t="s">
        <v>451</v>
      </c>
      <c r="D16" s="526" t="s">
        <v>569</v>
      </c>
      <c r="E16" s="527" t="s">
        <v>536</v>
      </c>
      <c r="F16" s="529" t="s">
        <v>452</v>
      </c>
      <c r="G16" s="828"/>
      <c r="H16" s="829"/>
    </row>
    <row r="17" spans="1:8" ht="16.5" customHeight="1">
      <c r="A17" s="2238"/>
      <c r="B17" s="459" t="s">
        <v>453</v>
      </c>
      <c r="C17" s="444" t="s">
        <v>454</v>
      </c>
      <c r="D17" s="444" t="s">
        <v>717</v>
      </c>
      <c r="E17" s="643" t="s">
        <v>570</v>
      </c>
      <c r="F17" s="529" t="s">
        <v>409</v>
      </c>
      <c r="G17" s="831">
        <v>2</v>
      </c>
      <c r="H17" s="830">
        <v>2110</v>
      </c>
    </row>
    <row r="18" spans="1:8" ht="16.5" customHeight="1">
      <c r="A18" s="2239"/>
      <c r="B18" s="452"/>
      <c r="C18" s="453"/>
      <c r="D18" s="453"/>
      <c r="E18" s="454"/>
      <c r="F18" s="455" t="s">
        <v>455</v>
      </c>
      <c r="G18" s="826"/>
      <c r="H18" s="827"/>
    </row>
    <row r="19" spans="1:8" ht="16.5" customHeight="1">
      <c r="A19" s="2237" t="s">
        <v>412</v>
      </c>
      <c r="B19" s="456" t="s">
        <v>413</v>
      </c>
      <c r="C19" s="526" t="s">
        <v>414</v>
      </c>
      <c r="D19" s="526" t="s">
        <v>553</v>
      </c>
      <c r="E19" s="527" t="s">
        <v>554</v>
      </c>
      <c r="F19" s="576" t="s">
        <v>415</v>
      </c>
      <c r="G19" s="828"/>
      <c r="H19" s="829"/>
    </row>
    <row r="20" spans="1:8" ht="16.5" customHeight="1">
      <c r="A20" s="2238"/>
      <c r="B20" s="459" t="s">
        <v>402</v>
      </c>
      <c r="C20" s="444"/>
      <c r="D20" s="444" t="s">
        <v>416</v>
      </c>
      <c r="E20" s="445" t="s">
        <v>555</v>
      </c>
      <c r="F20" s="529" t="s">
        <v>417</v>
      </c>
      <c r="G20" s="831">
        <v>2</v>
      </c>
      <c r="H20" s="830">
        <v>78234</v>
      </c>
    </row>
    <row r="21" spans="1:8" ht="16.5" customHeight="1">
      <c r="A21" s="2239"/>
      <c r="B21" s="452"/>
      <c r="C21" s="453"/>
      <c r="D21" s="453"/>
      <c r="E21" s="454"/>
      <c r="F21" s="523" t="s">
        <v>544</v>
      </c>
      <c r="G21" s="826"/>
      <c r="H21" s="827"/>
    </row>
    <row r="22" spans="1:8" ht="16.5" customHeight="1">
      <c r="A22" s="1067"/>
      <c r="B22" s="459" t="s">
        <v>400</v>
      </c>
      <c r="C22" s="444" t="s">
        <v>1014</v>
      </c>
      <c r="D22" s="444" t="s">
        <v>1016</v>
      </c>
      <c r="E22" s="445" t="s">
        <v>1018</v>
      </c>
      <c r="F22" s="576" t="s">
        <v>415</v>
      </c>
      <c r="G22" s="831"/>
      <c r="H22" s="830"/>
    </row>
    <row r="23" spans="1:8" ht="16.5" customHeight="1">
      <c r="A23" s="1067" t="s">
        <v>1012</v>
      </c>
      <c r="B23" s="459" t="s">
        <v>1013</v>
      </c>
      <c r="C23" s="444" t="s">
        <v>1015</v>
      </c>
      <c r="D23" s="444" t="s">
        <v>442</v>
      </c>
      <c r="E23" s="445" t="s">
        <v>1019</v>
      </c>
      <c r="F23" s="529" t="s">
        <v>417</v>
      </c>
      <c r="G23" s="831">
        <v>1</v>
      </c>
      <c r="H23" s="830">
        <v>4988</v>
      </c>
    </row>
    <row r="24" spans="1:8" ht="16.5" customHeight="1">
      <c r="A24" s="1068"/>
      <c r="B24" s="452"/>
      <c r="C24" s="453"/>
      <c r="D24" s="454" t="s">
        <v>1017</v>
      </c>
      <c r="E24" s="454"/>
      <c r="F24" s="523" t="s">
        <v>1020</v>
      </c>
      <c r="G24" s="1058" t="s">
        <v>1021</v>
      </c>
      <c r="H24" s="827"/>
    </row>
    <row r="25" spans="1:8" ht="16.5" customHeight="1">
      <c r="A25" s="2219" t="s">
        <v>1022</v>
      </c>
      <c r="B25" s="459" t="s">
        <v>400</v>
      </c>
      <c r="C25" s="444" t="s">
        <v>1023</v>
      </c>
      <c r="D25" s="444" t="s">
        <v>1024</v>
      </c>
      <c r="E25" s="445" t="s">
        <v>1018</v>
      </c>
      <c r="F25" s="576" t="s">
        <v>415</v>
      </c>
      <c r="G25" s="831"/>
      <c r="H25" s="830"/>
    </row>
    <row r="26" spans="1:8" ht="16.5" customHeight="1">
      <c r="A26" s="2220"/>
      <c r="B26" s="459" t="s">
        <v>1013</v>
      </c>
      <c r="C26" s="444" t="s">
        <v>1015</v>
      </c>
      <c r="D26" s="444" t="s">
        <v>1025</v>
      </c>
      <c r="E26" s="445" t="s">
        <v>1027</v>
      </c>
      <c r="F26" s="529" t="s">
        <v>417</v>
      </c>
      <c r="G26" s="831">
        <v>1</v>
      </c>
      <c r="H26" s="830">
        <v>9879</v>
      </c>
    </row>
    <row r="27" spans="1:8" ht="16.5" customHeight="1">
      <c r="A27" s="2221"/>
      <c r="B27" s="452"/>
      <c r="C27" s="453"/>
      <c r="D27" s="454" t="s">
        <v>1026</v>
      </c>
      <c r="E27" s="454"/>
      <c r="F27" s="523" t="s">
        <v>1020</v>
      </c>
      <c r="G27" s="1058" t="s">
        <v>1021</v>
      </c>
      <c r="H27" s="827"/>
    </row>
    <row r="28" spans="1:8" ht="16.5" customHeight="1">
      <c r="A28" s="2219" t="s">
        <v>1028</v>
      </c>
      <c r="B28" s="459" t="s">
        <v>400</v>
      </c>
      <c r="C28" s="444" t="s">
        <v>1029</v>
      </c>
      <c r="D28" s="444" t="s">
        <v>1030</v>
      </c>
      <c r="E28" s="445" t="s">
        <v>1018</v>
      </c>
      <c r="F28" s="576" t="s">
        <v>415</v>
      </c>
      <c r="G28" s="831"/>
      <c r="H28" s="830"/>
    </row>
    <row r="29" spans="1:8" ht="16.5" customHeight="1">
      <c r="A29" s="2220"/>
      <c r="B29" s="459" t="s">
        <v>1013</v>
      </c>
      <c r="C29" s="444"/>
      <c r="D29" s="444" t="s">
        <v>1031</v>
      </c>
      <c r="E29" s="445" t="s">
        <v>1033</v>
      </c>
      <c r="F29" s="529" t="s">
        <v>417</v>
      </c>
      <c r="G29" s="831">
        <v>1</v>
      </c>
      <c r="H29" s="830">
        <v>4665</v>
      </c>
    </row>
    <row r="30" spans="1:8" ht="16.5" customHeight="1">
      <c r="A30" s="2221"/>
      <c r="B30" s="452"/>
      <c r="C30" s="453"/>
      <c r="D30" s="454" t="s">
        <v>1032</v>
      </c>
      <c r="E30" s="454"/>
      <c r="F30" s="523" t="s">
        <v>1020</v>
      </c>
      <c r="G30" s="1058" t="s">
        <v>1021</v>
      </c>
      <c r="H30" s="827"/>
    </row>
    <row r="31" spans="1:8" ht="16.5" customHeight="1">
      <c r="A31" s="2237" t="s">
        <v>429</v>
      </c>
      <c r="B31" s="456" t="s">
        <v>430</v>
      </c>
      <c r="C31" s="526" t="s">
        <v>431</v>
      </c>
      <c r="D31" s="526" t="s">
        <v>561</v>
      </c>
      <c r="E31" s="527" t="s">
        <v>562</v>
      </c>
      <c r="F31" s="576" t="s">
        <v>432</v>
      </c>
      <c r="G31" s="828"/>
      <c r="H31" s="829"/>
    </row>
    <row r="32" spans="1:8" ht="16.5" customHeight="1">
      <c r="A32" s="2238"/>
      <c r="B32" s="459" t="s">
        <v>397</v>
      </c>
      <c r="C32" s="444" t="s">
        <v>433</v>
      </c>
      <c r="D32" s="444" t="s">
        <v>434</v>
      </c>
      <c r="E32" s="445" t="s">
        <v>563</v>
      </c>
      <c r="F32" s="529" t="s">
        <v>435</v>
      </c>
      <c r="G32" s="831">
        <v>1</v>
      </c>
      <c r="H32" s="830">
        <v>301</v>
      </c>
    </row>
    <row r="33" spans="1:8" ht="16.5" customHeight="1">
      <c r="A33" s="2239"/>
      <c r="B33" s="452"/>
      <c r="C33" s="453" t="s">
        <v>564</v>
      </c>
      <c r="D33" s="453"/>
      <c r="E33" s="454"/>
      <c r="F33" s="577" t="s">
        <v>436</v>
      </c>
      <c r="G33" s="826"/>
      <c r="H33" s="827"/>
    </row>
    <row r="34" spans="1:8" ht="16.5" customHeight="1">
      <c r="A34" s="2237" t="s">
        <v>437</v>
      </c>
      <c r="B34" s="456" t="s">
        <v>430</v>
      </c>
      <c r="C34" s="526" t="s">
        <v>438</v>
      </c>
      <c r="D34" s="526" t="s">
        <v>565</v>
      </c>
      <c r="E34" s="527" t="s">
        <v>536</v>
      </c>
      <c r="F34" s="576" t="s">
        <v>439</v>
      </c>
      <c r="G34" s="2228">
        <v>1</v>
      </c>
      <c r="H34" s="2258">
        <v>47722</v>
      </c>
    </row>
    <row r="35" spans="1:8" ht="16.5" customHeight="1">
      <c r="A35" s="2238"/>
      <c r="B35" s="459" t="s">
        <v>440</v>
      </c>
      <c r="C35" s="444" t="s">
        <v>441</v>
      </c>
      <c r="D35" s="444" t="s">
        <v>442</v>
      </c>
      <c r="E35" s="445" t="s">
        <v>567</v>
      </c>
      <c r="F35" s="529"/>
      <c r="G35" s="2229"/>
      <c r="H35" s="2259"/>
    </row>
    <row r="36" spans="1:8" ht="16.5" customHeight="1">
      <c r="A36" s="2239"/>
      <c r="B36" s="452" t="s">
        <v>568</v>
      </c>
      <c r="C36" s="453"/>
      <c r="D36" s="453" t="str">
        <f>"3327"</f>
        <v>3327</v>
      </c>
      <c r="E36" s="454"/>
      <c r="F36" s="455"/>
      <c r="G36" s="2229"/>
      <c r="H36" s="2259"/>
    </row>
    <row r="37" spans="1:8" ht="16.5" customHeight="1">
      <c r="A37" s="2237" t="s">
        <v>443</v>
      </c>
      <c r="B37" s="456" t="s">
        <v>430</v>
      </c>
      <c r="C37" s="526" t="s">
        <v>444</v>
      </c>
      <c r="D37" s="526" t="s">
        <v>565</v>
      </c>
      <c r="E37" s="527" t="s">
        <v>536</v>
      </c>
      <c r="F37" s="576" t="s">
        <v>445</v>
      </c>
      <c r="G37" s="2229"/>
      <c r="H37" s="2259"/>
    </row>
    <row r="38" spans="1:8" ht="16.5" customHeight="1">
      <c r="A38" s="2238"/>
      <c r="B38" s="459" t="s">
        <v>446</v>
      </c>
      <c r="C38" s="444" t="s">
        <v>447</v>
      </c>
      <c r="D38" s="444" t="s">
        <v>442</v>
      </c>
      <c r="E38" s="445" t="s">
        <v>567</v>
      </c>
      <c r="F38" s="529"/>
      <c r="G38" s="2229"/>
      <c r="H38" s="2259"/>
    </row>
    <row r="39" spans="1:8" ht="16.5" customHeight="1">
      <c r="A39" s="2239"/>
      <c r="B39" s="452" t="s">
        <v>448</v>
      </c>
      <c r="C39" s="453" t="s">
        <v>449</v>
      </c>
      <c r="D39" s="453" t="str">
        <f>"3327"</f>
        <v>3327</v>
      </c>
      <c r="E39" s="454"/>
      <c r="F39" s="577"/>
      <c r="G39" s="2230"/>
      <c r="H39" s="2260"/>
    </row>
    <row r="40" spans="1:8" ht="16.5" customHeight="1">
      <c r="A40" s="2237" t="s">
        <v>410</v>
      </c>
      <c r="B40" s="456" t="s">
        <v>400</v>
      </c>
      <c r="C40" s="598" t="s">
        <v>849</v>
      </c>
      <c r="D40" s="526" t="s">
        <v>551</v>
      </c>
      <c r="E40" s="527" t="s">
        <v>542</v>
      </c>
      <c r="F40" s="576" t="s">
        <v>759</v>
      </c>
      <c r="G40" s="828"/>
      <c r="H40" s="829"/>
    </row>
    <row r="41" spans="1:8" ht="16.5" customHeight="1">
      <c r="A41" s="2238"/>
      <c r="B41" s="459" t="s">
        <v>402</v>
      </c>
      <c r="C41" s="444" t="s">
        <v>1001</v>
      </c>
      <c r="D41" s="444" t="s">
        <v>411</v>
      </c>
      <c r="E41" s="445" t="s">
        <v>552</v>
      </c>
      <c r="F41" s="529" t="s">
        <v>847</v>
      </c>
      <c r="G41" s="831">
        <v>2</v>
      </c>
      <c r="H41" s="830">
        <v>133797</v>
      </c>
    </row>
    <row r="42" spans="1:8" ht="16.5" customHeight="1">
      <c r="A42" s="2239"/>
      <c r="B42" s="452"/>
      <c r="C42" s="453"/>
      <c r="D42" s="453"/>
      <c r="E42" s="454"/>
      <c r="F42" s="577"/>
      <c r="G42" s="826"/>
      <c r="H42" s="827"/>
    </row>
    <row r="43" spans="1:11" ht="16.5" customHeight="1">
      <c r="A43" s="2237" t="s">
        <v>456</v>
      </c>
      <c r="B43" s="456" t="s">
        <v>430</v>
      </c>
      <c r="C43" s="526" t="s">
        <v>828</v>
      </c>
      <c r="D43" s="526" t="s">
        <v>571</v>
      </c>
      <c r="E43" s="527" t="s">
        <v>542</v>
      </c>
      <c r="F43" s="627" t="s">
        <v>457</v>
      </c>
      <c r="G43" s="828"/>
      <c r="H43" s="829"/>
      <c r="I43" s="2253"/>
      <c r="J43" s="2254"/>
      <c r="K43" s="2254"/>
    </row>
    <row r="44" spans="1:8" ht="16.5" customHeight="1">
      <c r="A44" s="2238"/>
      <c r="B44" s="459" t="s">
        <v>397</v>
      </c>
      <c r="C44" s="444" t="s">
        <v>757</v>
      </c>
      <c r="D44" s="444" t="s">
        <v>572</v>
      </c>
      <c r="E44" s="445" t="s">
        <v>573</v>
      </c>
      <c r="F44" s="529" t="s">
        <v>417</v>
      </c>
      <c r="G44" s="831">
        <v>1</v>
      </c>
      <c r="H44" s="830">
        <v>7319</v>
      </c>
    </row>
    <row r="45" spans="1:8" ht="16.5" customHeight="1">
      <c r="A45" s="2239"/>
      <c r="B45" s="452"/>
      <c r="C45" s="453"/>
      <c r="D45" s="453" t="s">
        <v>458</v>
      </c>
      <c r="E45" s="454"/>
      <c r="F45" s="455" t="s">
        <v>758</v>
      </c>
      <c r="G45" s="826"/>
      <c r="H45" s="827"/>
    </row>
    <row r="46" spans="1:8" ht="16.5" customHeight="1">
      <c r="A46" s="2237" t="s">
        <v>425</v>
      </c>
      <c r="B46" s="456" t="s">
        <v>413</v>
      </c>
      <c r="C46" s="526" t="s">
        <v>426</v>
      </c>
      <c r="D46" s="526" t="s">
        <v>558</v>
      </c>
      <c r="E46" s="527" t="s">
        <v>542</v>
      </c>
      <c r="F46" s="2244" t="s">
        <v>1043</v>
      </c>
      <c r="G46" s="828"/>
      <c r="H46" s="829"/>
    </row>
    <row r="47" spans="1:8" ht="16.5" customHeight="1">
      <c r="A47" s="2238"/>
      <c r="B47" s="459" t="s">
        <v>402</v>
      </c>
      <c r="C47" s="444" t="s">
        <v>427</v>
      </c>
      <c r="D47" s="444" t="s">
        <v>559</v>
      </c>
      <c r="E47" s="445" t="s">
        <v>560</v>
      </c>
      <c r="F47" s="2245"/>
      <c r="G47" s="831">
        <v>2</v>
      </c>
      <c r="H47" s="830">
        <v>2936</v>
      </c>
    </row>
    <row r="48" spans="1:8" ht="16.5" customHeight="1">
      <c r="A48" s="2239"/>
      <c r="B48" s="452"/>
      <c r="C48" s="453" t="s">
        <v>428</v>
      </c>
      <c r="D48" s="453"/>
      <c r="E48" s="454"/>
      <c r="F48" s="2246"/>
      <c r="G48" s="826"/>
      <c r="H48" s="827"/>
    </row>
    <row r="49" spans="1:8" ht="16.5" customHeight="1">
      <c r="A49" s="2237" t="s">
        <v>405</v>
      </c>
      <c r="B49" s="456" t="s">
        <v>400</v>
      </c>
      <c r="C49" s="526" t="s">
        <v>406</v>
      </c>
      <c r="D49" s="526" t="s">
        <v>548</v>
      </c>
      <c r="E49" s="527" t="s">
        <v>549</v>
      </c>
      <c r="F49" s="2234" t="s">
        <v>1038</v>
      </c>
      <c r="G49" s="828"/>
      <c r="H49" s="829"/>
    </row>
    <row r="50" spans="1:8" ht="16.5" customHeight="1">
      <c r="A50" s="2238"/>
      <c r="B50" s="459" t="s">
        <v>407</v>
      </c>
      <c r="C50" s="444"/>
      <c r="D50" s="444" t="s">
        <v>408</v>
      </c>
      <c r="E50" s="445" t="s">
        <v>550</v>
      </c>
      <c r="F50" s="2235"/>
      <c r="G50" s="831">
        <v>1</v>
      </c>
      <c r="H50" s="830">
        <v>4567</v>
      </c>
    </row>
    <row r="51" spans="1:8" ht="16.5" customHeight="1">
      <c r="A51" s="2239"/>
      <c r="B51" s="452"/>
      <c r="C51" s="453"/>
      <c r="D51" s="453"/>
      <c r="E51" s="454"/>
      <c r="F51" s="2236"/>
      <c r="G51" s="826"/>
      <c r="H51" s="827"/>
    </row>
    <row r="52" spans="1:8" ht="16.5" customHeight="1">
      <c r="A52" s="2237" t="s">
        <v>418</v>
      </c>
      <c r="B52" s="456" t="s">
        <v>419</v>
      </c>
      <c r="C52" s="526" t="s">
        <v>420</v>
      </c>
      <c r="D52" s="526" t="s">
        <v>556</v>
      </c>
      <c r="E52" s="642" t="s">
        <v>539</v>
      </c>
      <c r="F52" s="576" t="s">
        <v>415</v>
      </c>
      <c r="G52" s="828"/>
      <c r="H52" s="829"/>
    </row>
    <row r="53" spans="1:8" ht="16.5" customHeight="1">
      <c r="A53" s="2238"/>
      <c r="B53" s="459" t="s">
        <v>402</v>
      </c>
      <c r="C53" s="444"/>
      <c r="D53" s="444" t="s">
        <v>421</v>
      </c>
      <c r="E53" s="643" t="s">
        <v>557</v>
      </c>
      <c r="F53" s="638" t="s">
        <v>422</v>
      </c>
      <c r="G53" s="831">
        <v>1</v>
      </c>
      <c r="H53" s="830">
        <v>950</v>
      </c>
    </row>
    <row r="54" spans="1:8" ht="16.5" customHeight="1">
      <c r="A54" s="2239"/>
      <c r="B54" s="452"/>
      <c r="C54" s="453"/>
      <c r="D54" s="453" t="s">
        <v>423</v>
      </c>
      <c r="E54" s="644"/>
      <c r="F54" s="577" t="s">
        <v>424</v>
      </c>
      <c r="G54" s="826"/>
      <c r="H54" s="827"/>
    </row>
    <row r="55" spans="1:8" ht="16.5" customHeight="1">
      <c r="A55" s="2256" t="s">
        <v>399</v>
      </c>
      <c r="B55" s="443" t="s">
        <v>400</v>
      </c>
      <c r="C55" s="444" t="s">
        <v>790</v>
      </c>
      <c r="D55" s="444" t="s">
        <v>545</v>
      </c>
      <c r="E55" s="445" t="s">
        <v>546</v>
      </c>
      <c r="F55" s="2222" t="s">
        <v>401</v>
      </c>
      <c r="G55" s="831"/>
      <c r="H55" s="830"/>
    </row>
    <row r="56" spans="1:9" ht="16.5" customHeight="1">
      <c r="A56" s="2238"/>
      <c r="B56" s="459" t="s">
        <v>402</v>
      </c>
      <c r="C56" s="444" t="s">
        <v>403</v>
      </c>
      <c r="D56" s="444" t="s">
        <v>404</v>
      </c>
      <c r="E56" s="445" t="s">
        <v>547</v>
      </c>
      <c r="F56" s="2223"/>
      <c r="G56" s="831">
        <v>3</v>
      </c>
      <c r="H56" s="830">
        <v>17413</v>
      </c>
      <c r="I56" s="235"/>
    </row>
    <row r="57" spans="1:8" ht="16.5" customHeight="1" thickBot="1">
      <c r="A57" s="2257"/>
      <c r="B57" s="608"/>
      <c r="C57" s="609"/>
      <c r="D57" s="609"/>
      <c r="E57" s="610"/>
      <c r="F57" s="2224"/>
      <c r="G57" s="832"/>
      <c r="H57" s="833"/>
    </row>
    <row r="58" spans="1:8" ht="16.5" customHeight="1" thickBot="1">
      <c r="A58" s="235" t="s">
        <v>459</v>
      </c>
      <c r="B58" s="426"/>
      <c r="C58" s="427"/>
      <c r="D58" s="427"/>
      <c r="E58" s="427"/>
      <c r="F58" s="428"/>
      <c r="G58" s="235"/>
      <c r="H58" s="235"/>
    </row>
    <row r="59" spans="1:8" ht="37.5" customHeight="1" thickBot="1">
      <c r="A59" s="421" t="s">
        <v>380</v>
      </c>
      <c r="B59" s="422" t="s">
        <v>381</v>
      </c>
      <c r="C59" s="422" t="s">
        <v>382</v>
      </c>
      <c r="D59" s="422" t="s">
        <v>383</v>
      </c>
      <c r="E59" s="422" t="s">
        <v>384</v>
      </c>
      <c r="F59" s="423" t="s">
        <v>385</v>
      </c>
      <c r="G59" s="424" t="s">
        <v>386</v>
      </c>
      <c r="H59" s="425" t="s">
        <v>999</v>
      </c>
    </row>
    <row r="60" spans="1:8" ht="16.5" customHeight="1">
      <c r="A60" s="2255" t="s">
        <v>460</v>
      </c>
      <c r="B60" s="456" t="s">
        <v>388</v>
      </c>
      <c r="C60" s="526" t="s">
        <v>461</v>
      </c>
      <c r="D60" s="526" t="s">
        <v>574</v>
      </c>
      <c r="E60" s="527" t="s">
        <v>575</v>
      </c>
      <c r="F60" s="528" t="s">
        <v>415</v>
      </c>
      <c r="G60" s="446"/>
      <c r="H60" s="447"/>
    </row>
    <row r="61" spans="1:8" ht="16.5" customHeight="1">
      <c r="A61" s="2238"/>
      <c r="B61" s="459" t="s">
        <v>751</v>
      </c>
      <c r="C61" s="444" t="s">
        <v>462</v>
      </c>
      <c r="D61" s="444" t="s">
        <v>463</v>
      </c>
      <c r="E61" s="445" t="s">
        <v>576</v>
      </c>
      <c r="F61" s="529" t="s">
        <v>464</v>
      </c>
      <c r="G61" s="831">
        <v>31</v>
      </c>
      <c r="H61" s="830">
        <v>459384</v>
      </c>
    </row>
    <row r="62" spans="1:8" ht="16.5" customHeight="1">
      <c r="A62" s="2239"/>
      <c r="B62" s="452"/>
      <c r="C62" s="453"/>
      <c r="D62" s="452">
        <v>240</v>
      </c>
      <c r="E62" s="454"/>
      <c r="F62" s="529" t="s">
        <v>577</v>
      </c>
      <c r="G62" s="826"/>
      <c r="H62" s="827"/>
    </row>
    <row r="63" spans="1:8" ht="16.5" customHeight="1">
      <c r="A63" s="2237" t="s">
        <v>465</v>
      </c>
      <c r="B63" s="456" t="s">
        <v>400</v>
      </c>
      <c r="C63" s="598" t="s">
        <v>466</v>
      </c>
      <c r="D63" s="526" t="s">
        <v>578</v>
      </c>
      <c r="E63" s="527" t="s">
        <v>566</v>
      </c>
      <c r="F63" s="576" t="s">
        <v>467</v>
      </c>
      <c r="G63" s="828"/>
      <c r="H63" s="830"/>
    </row>
    <row r="64" spans="1:8" ht="16.5" customHeight="1">
      <c r="A64" s="2238"/>
      <c r="B64" s="459" t="s">
        <v>402</v>
      </c>
      <c r="C64" s="599" t="s">
        <v>579</v>
      </c>
      <c r="D64" s="444" t="s">
        <v>832</v>
      </c>
      <c r="E64" s="445" t="s">
        <v>580</v>
      </c>
      <c r="F64" s="529" t="s">
        <v>468</v>
      </c>
      <c r="G64" s="831">
        <v>2</v>
      </c>
      <c r="H64" s="830">
        <v>11673</v>
      </c>
    </row>
    <row r="65" spans="1:8" ht="16.5" customHeight="1">
      <c r="A65" s="2239"/>
      <c r="B65" s="452"/>
      <c r="C65" s="600" t="s">
        <v>714</v>
      </c>
      <c r="D65" s="452" t="s">
        <v>469</v>
      </c>
      <c r="E65" s="454"/>
      <c r="F65" s="577" t="s">
        <v>455</v>
      </c>
      <c r="G65" s="826"/>
      <c r="H65" s="827"/>
    </row>
    <row r="66" spans="1:8" ht="16.5" customHeight="1">
      <c r="A66" s="2243" t="s">
        <v>470</v>
      </c>
      <c r="B66" s="443" t="s">
        <v>400</v>
      </c>
      <c r="C66" s="2244" t="s">
        <v>850</v>
      </c>
      <c r="D66" s="444" t="s">
        <v>569</v>
      </c>
      <c r="E66" s="445" t="s">
        <v>554</v>
      </c>
      <c r="F66" s="529" t="s">
        <v>452</v>
      </c>
      <c r="G66" s="2228">
        <v>2</v>
      </c>
      <c r="H66" s="2231">
        <v>3196</v>
      </c>
    </row>
    <row r="67" spans="1:8" ht="16.5" customHeight="1">
      <c r="A67" s="2238"/>
      <c r="B67" s="2245" t="s">
        <v>752</v>
      </c>
      <c r="C67" s="2245"/>
      <c r="D67" s="444" t="s">
        <v>471</v>
      </c>
      <c r="E67" s="445" t="s">
        <v>581</v>
      </c>
      <c r="F67" s="529" t="s">
        <v>409</v>
      </c>
      <c r="G67" s="2229"/>
      <c r="H67" s="2232"/>
    </row>
    <row r="68" spans="1:8" ht="51.75" customHeight="1">
      <c r="A68" s="2239"/>
      <c r="B68" s="2246"/>
      <c r="C68" s="2246"/>
      <c r="D68" s="444"/>
      <c r="E68" s="445"/>
      <c r="F68" s="646" t="s">
        <v>455</v>
      </c>
      <c r="G68" s="2230"/>
      <c r="H68" s="2233"/>
    </row>
    <row r="69" spans="1:8" ht="16.5" customHeight="1">
      <c r="A69" s="2247" t="s">
        <v>1000</v>
      </c>
      <c r="B69" s="456" t="s">
        <v>400</v>
      </c>
      <c r="C69" s="444" t="s">
        <v>712</v>
      </c>
      <c r="D69" s="526" t="s">
        <v>582</v>
      </c>
      <c r="E69" s="527" t="s">
        <v>583</v>
      </c>
      <c r="F69" s="578" t="s">
        <v>415</v>
      </c>
      <c r="G69" s="828"/>
      <c r="H69" s="829"/>
    </row>
    <row r="70" spans="1:8" ht="16.5" customHeight="1">
      <c r="A70" s="2241"/>
      <c r="B70" s="459" t="s">
        <v>402</v>
      </c>
      <c r="C70" s="654" t="s">
        <v>713</v>
      </c>
      <c r="D70" s="444" t="s">
        <v>472</v>
      </c>
      <c r="E70" s="445" t="s">
        <v>584</v>
      </c>
      <c r="F70" s="2249" t="s">
        <v>800</v>
      </c>
      <c r="G70" s="831">
        <v>3</v>
      </c>
      <c r="H70" s="830">
        <v>115672</v>
      </c>
    </row>
    <row r="71" spans="1:8" ht="16.5" customHeight="1">
      <c r="A71" s="2248"/>
      <c r="B71" s="452"/>
      <c r="C71" s="453"/>
      <c r="D71" s="453"/>
      <c r="E71" s="454"/>
      <c r="F71" s="2250"/>
      <c r="G71" s="826"/>
      <c r="H71" s="827"/>
    </row>
    <row r="72" spans="1:8" ht="16.5" customHeight="1">
      <c r="A72" s="2243" t="s">
        <v>479</v>
      </c>
      <c r="B72" s="456" t="s">
        <v>480</v>
      </c>
      <c r="C72" s="526" t="s">
        <v>589</v>
      </c>
      <c r="D72" s="526" t="s">
        <v>590</v>
      </c>
      <c r="E72" s="527" t="s">
        <v>583</v>
      </c>
      <c r="F72" s="2244" t="s">
        <v>1044</v>
      </c>
      <c r="G72" s="828"/>
      <c r="H72" s="829"/>
    </row>
    <row r="73" spans="1:8" ht="16.5" customHeight="1">
      <c r="A73" s="2238"/>
      <c r="B73" s="459" t="s">
        <v>397</v>
      </c>
      <c r="C73" s="444" t="s">
        <v>591</v>
      </c>
      <c r="D73" s="444" t="s">
        <v>481</v>
      </c>
      <c r="E73" s="445" t="s">
        <v>592</v>
      </c>
      <c r="F73" s="2245"/>
      <c r="G73" s="831">
        <v>1</v>
      </c>
      <c r="H73" s="834" t="s">
        <v>593</v>
      </c>
    </row>
    <row r="74" spans="1:8" ht="16.5" customHeight="1">
      <c r="A74" s="2239"/>
      <c r="B74" s="452"/>
      <c r="C74" s="453"/>
      <c r="D74" s="453"/>
      <c r="E74" s="454"/>
      <c r="F74" s="2246"/>
      <c r="G74" s="826"/>
      <c r="H74" s="827"/>
    </row>
    <row r="75" spans="1:8" ht="16.5" customHeight="1">
      <c r="A75" s="2240" t="s">
        <v>473</v>
      </c>
      <c r="B75" s="443" t="s">
        <v>474</v>
      </c>
      <c r="C75" s="444" t="s">
        <v>475</v>
      </c>
      <c r="D75" s="444" t="s">
        <v>585</v>
      </c>
      <c r="E75" s="445" t="s">
        <v>586</v>
      </c>
      <c r="F75" s="578" t="s">
        <v>839</v>
      </c>
      <c r="G75" s="831"/>
      <c r="H75" s="830"/>
    </row>
    <row r="76" spans="1:8" ht="16.5" customHeight="1">
      <c r="A76" s="2241"/>
      <c r="B76" s="459" t="s">
        <v>397</v>
      </c>
      <c r="C76" s="444" t="s">
        <v>746</v>
      </c>
      <c r="D76" s="444" t="s">
        <v>476</v>
      </c>
      <c r="E76" s="445" t="s">
        <v>587</v>
      </c>
      <c r="F76" s="529" t="s">
        <v>588</v>
      </c>
      <c r="G76" s="831">
        <v>1</v>
      </c>
      <c r="H76" s="830">
        <v>4605</v>
      </c>
    </row>
    <row r="77" spans="1:8" ht="16.5" customHeight="1" thickBot="1">
      <c r="A77" s="2242"/>
      <c r="B77" s="608"/>
      <c r="C77" s="609" t="s">
        <v>745</v>
      </c>
      <c r="D77" s="609" t="s">
        <v>477</v>
      </c>
      <c r="E77" s="610"/>
      <c r="F77" s="611" t="s">
        <v>478</v>
      </c>
      <c r="G77" s="612"/>
      <c r="H77" s="613"/>
    </row>
    <row r="78" ht="12.75" customHeight="1">
      <c r="E78" s="141"/>
    </row>
    <row r="79" ht="12.75" customHeight="1">
      <c r="E79" s="141"/>
    </row>
    <row r="80" ht="12.75" customHeight="1">
      <c r="E80" s="141"/>
    </row>
    <row r="81" spans="4:5" ht="12.75" customHeight="1">
      <c r="D81" s="105"/>
      <c r="E81" s="141"/>
    </row>
    <row r="82" ht="12.75" customHeight="1">
      <c r="E82" s="141"/>
    </row>
    <row r="83" ht="12.75" customHeight="1">
      <c r="E83" s="141"/>
    </row>
    <row r="84" ht="12.75" customHeight="1">
      <c r="E84" s="141"/>
    </row>
    <row r="85" ht="12.75" customHeight="1">
      <c r="E85" s="141"/>
    </row>
    <row r="86" ht="12.75" customHeight="1">
      <c r="E86" s="141"/>
    </row>
    <row r="87" ht="12.75" customHeight="1">
      <c r="E87" s="141"/>
    </row>
    <row r="88" ht="12.75" customHeight="1">
      <c r="E88" s="141"/>
    </row>
    <row r="89" ht="12.75" customHeight="1">
      <c r="E89" s="141"/>
    </row>
  </sheetData>
  <sheetProtection/>
  <mergeCells count="39">
    <mergeCell ref="A34:A36"/>
    <mergeCell ref="G34:G39"/>
    <mergeCell ref="H34:H39"/>
    <mergeCell ref="A37:A39"/>
    <mergeCell ref="A13:A15"/>
    <mergeCell ref="A4:A6"/>
    <mergeCell ref="F4:F5"/>
    <mergeCell ref="A7:A9"/>
    <mergeCell ref="F7:F8"/>
    <mergeCell ref="A10:A12"/>
    <mergeCell ref="F10:F11"/>
    <mergeCell ref="I43:K43"/>
    <mergeCell ref="A43:A45"/>
    <mergeCell ref="A60:A62"/>
    <mergeCell ref="A55:A57"/>
    <mergeCell ref="A49:A51"/>
    <mergeCell ref="A40:A42"/>
    <mergeCell ref="A52:A54"/>
    <mergeCell ref="A46:A48"/>
    <mergeCell ref="F46:F48"/>
    <mergeCell ref="A75:A77"/>
    <mergeCell ref="A72:A74"/>
    <mergeCell ref="F72:F74"/>
    <mergeCell ref="A63:A65"/>
    <mergeCell ref="A66:A68"/>
    <mergeCell ref="C66:C68"/>
    <mergeCell ref="B67:B68"/>
    <mergeCell ref="A69:A71"/>
    <mergeCell ref="F70:F71"/>
    <mergeCell ref="A28:A30"/>
    <mergeCell ref="F55:F57"/>
    <mergeCell ref="F13:F15"/>
    <mergeCell ref="G66:G68"/>
    <mergeCell ref="H66:H68"/>
    <mergeCell ref="F49:F51"/>
    <mergeCell ref="A25:A27"/>
    <mergeCell ref="A19:A21"/>
    <mergeCell ref="A16:A18"/>
    <mergeCell ref="A31:A33"/>
  </mergeCells>
  <printOptions/>
  <pageMargins left="0.7086614173228347" right="0.1968503937007874" top="0.6692913385826772" bottom="0.1968503937007874" header="0.7874015748031497" footer="0.3937007874015748"/>
  <pageSetup firstPageNumber="42" useFirstPageNumber="1" horizontalDpi="600" verticalDpi="600" orientation="portrait" paperSize="9" scale="77" r:id="rId1"/>
  <headerFooter scaleWithDoc="0" alignWithMargins="0">
    <oddFooter>&amp;C&amp;12&amp;P</oddFooter>
  </headerFooter>
  <rowBreaks count="1" manualBreakCount="1">
    <brk id="5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view="pageBreakPreview" zoomScale="115" zoomScaleSheetLayoutView="115" zoomScalePageLayoutView="0" workbookViewId="0" topLeftCell="A1">
      <selection activeCell="S51" sqref="S51"/>
    </sheetView>
  </sheetViews>
  <sheetFormatPr defaultColWidth="9.00390625" defaultRowHeight="13.5"/>
  <cols>
    <col min="1" max="1" width="21.25390625" style="167" customWidth="1"/>
    <col min="2" max="2" width="2.625" style="177" customWidth="1"/>
    <col min="3" max="3" width="2.625" style="167" customWidth="1"/>
    <col min="4" max="4" width="2.875" style="167" customWidth="1"/>
    <col min="5" max="5" width="3.125" style="167" customWidth="1"/>
    <col min="6" max="6" width="7.625" style="178" customWidth="1"/>
    <col min="7" max="7" width="7.00390625" style="167" customWidth="1"/>
    <col min="8" max="8" width="6.00390625" style="167" customWidth="1"/>
    <col min="9" max="9" width="7.875" style="167" customWidth="1"/>
    <col min="10" max="10" width="6.625" style="167" customWidth="1"/>
    <col min="11" max="11" width="5.75390625" style="167" customWidth="1"/>
    <col min="12" max="14" width="6.625" style="167" customWidth="1"/>
    <col min="15" max="15" width="7.625" style="167" customWidth="1"/>
    <col min="16" max="17" width="8.375" style="167" customWidth="1"/>
    <col min="18" max="16384" width="9.00390625" style="167" customWidth="1"/>
  </cols>
  <sheetData>
    <row r="1" spans="1:17" ht="25.5" customHeight="1">
      <c r="A1" s="2265" t="s">
        <v>485</v>
      </c>
      <c r="B1" s="2267" t="s">
        <v>1002</v>
      </c>
      <c r="C1" s="2268"/>
      <c r="D1" s="2268"/>
      <c r="E1" s="2269"/>
      <c r="F1" s="2267" t="s">
        <v>1003</v>
      </c>
      <c r="G1" s="2268"/>
      <c r="H1" s="2268"/>
      <c r="I1" s="2269"/>
      <c r="J1" s="2267" t="s">
        <v>1004</v>
      </c>
      <c r="K1" s="2269"/>
      <c r="L1" s="2270" t="s">
        <v>1005</v>
      </c>
      <c r="M1" s="2272" t="s">
        <v>1006</v>
      </c>
      <c r="N1" s="2272" t="s">
        <v>1007</v>
      </c>
      <c r="O1" s="2267" t="s">
        <v>1008</v>
      </c>
      <c r="P1" s="2268"/>
      <c r="Q1" s="2274"/>
    </row>
    <row r="2" spans="1:17" ht="56.25" customHeight="1" thickBot="1">
      <c r="A2" s="2266"/>
      <c r="B2" s="429" t="s">
        <v>486</v>
      </c>
      <c r="C2" s="429" t="s">
        <v>487</v>
      </c>
      <c r="D2" s="429" t="s">
        <v>488</v>
      </c>
      <c r="E2" s="430" t="s">
        <v>489</v>
      </c>
      <c r="F2" s="431" t="s">
        <v>490</v>
      </c>
      <c r="G2" s="431" t="s">
        <v>491</v>
      </c>
      <c r="H2" s="431" t="s">
        <v>492</v>
      </c>
      <c r="I2" s="431" t="s">
        <v>493</v>
      </c>
      <c r="J2" s="431" t="s">
        <v>490</v>
      </c>
      <c r="K2" s="431" t="s">
        <v>494</v>
      </c>
      <c r="L2" s="2271"/>
      <c r="M2" s="2273"/>
      <c r="N2" s="2273"/>
      <c r="O2" s="431" t="s">
        <v>1009</v>
      </c>
      <c r="P2" s="431" t="s">
        <v>1011</v>
      </c>
      <c r="Q2" s="432" t="s">
        <v>1010</v>
      </c>
    </row>
    <row r="3" spans="1:17" ht="30" customHeight="1">
      <c r="A3" s="1260" t="s">
        <v>495</v>
      </c>
      <c r="B3" s="835">
        <v>14</v>
      </c>
      <c r="C3" s="835"/>
      <c r="D3" s="835">
        <v>6</v>
      </c>
      <c r="E3" s="835">
        <f aca="true" t="shared" si="0" ref="E3:E47">SUM(B3:D3)</f>
        <v>20</v>
      </c>
      <c r="F3" s="1264">
        <v>686650</v>
      </c>
      <c r="G3" s="835">
        <v>78859</v>
      </c>
      <c r="H3" s="835">
        <v>68016</v>
      </c>
      <c r="I3" s="835">
        <v>112000</v>
      </c>
      <c r="J3" s="835">
        <v>13997</v>
      </c>
      <c r="K3" s="835">
        <v>5449</v>
      </c>
      <c r="L3" s="835">
        <v>4307</v>
      </c>
      <c r="M3" s="835">
        <v>94</v>
      </c>
      <c r="N3" s="835">
        <v>12</v>
      </c>
      <c r="O3" s="835">
        <v>42596</v>
      </c>
      <c r="P3" s="835">
        <v>146136</v>
      </c>
      <c r="Q3" s="1265">
        <v>68242</v>
      </c>
    </row>
    <row r="4" spans="1:26" s="214" customFormat="1" ht="30" customHeight="1">
      <c r="A4" s="1064" t="s">
        <v>760</v>
      </c>
      <c r="B4" s="836">
        <v>12</v>
      </c>
      <c r="C4" s="836"/>
      <c r="D4" s="836">
        <v>5</v>
      </c>
      <c r="E4" s="837">
        <f t="shared" si="0"/>
        <v>17</v>
      </c>
      <c r="F4" s="1059">
        <v>305939</v>
      </c>
      <c r="G4" s="836">
        <v>92790</v>
      </c>
      <c r="H4" s="836">
        <v>11165</v>
      </c>
      <c r="I4" s="836">
        <v>160739</v>
      </c>
      <c r="J4" s="836">
        <v>10151</v>
      </c>
      <c r="K4" s="836">
        <v>1003</v>
      </c>
      <c r="L4" s="836">
        <v>6915</v>
      </c>
      <c r="M4" s="836">
        <v>205</v>
      </c>
      <c r="N4" s="836">
        <v>10</v>
      </c>
      <c r="O4" s="2263">
        <v>61679</v>
      </c>
      <c r="P4" s="836">
        <v>608732</v>
      </c>
      <c r="Q4" s="839">
        <v>275417</v>
      </c>
      <c r="R4" s="168"/>
      <c r="S4" s="168"/>
      <c r="T4" s="168"/>
      <c r="U4" s="168"/>
      <c r="V4" s="168"/>
      <c r="W4" s="168"/>
      <c r="X4" s="168"/>
      <c r="Y4" s="168"/>
      <c r="Z4" s="168"/>
    </row>
    <row r="5" spans="1:26" s="216" customFormat="1" ht="30" customHeight="1">
      <c r="A5" s="1064" t="s">
        <v>1037</v>
      </c>
      <c r="B5" s="836">
        <v>1</v>
      </c>
      <c r="C5" s="836"/>
      <c r="D5" s="836">
        <v>1</v>
      </c>
      <c r="E5" s="837">
        <f t="shared" si="0"/>
        <v>2</v>
      </c>
      <c r="F5" s="838">
        <v>24965</v>
      </c>
      <c r="G5" s="836">
        <v>11964</v>
      </c>
      <c r="H5" s="836"/>
      <c r="I5" s="836">
        <v>18438</v>
      </c>
      <c r="J5" s="836">
        <v>1649</v>
      </c>
      <c r="K5" s="836">
        <v>77</v>
      </c>
      <c r="L5" s="836">
        <v>1110</v>
      </c>
      <c r="M5" s="836">
        <v>14</v>
      </c>
      <c r="N5" s="836">
        <v>1</v>
      </c>
      <c r="O5" s="2264"/>
      <c r="P5" s="836">
        <v>52480</v>
      </c>
      <c r="Q5" s="839">
        <v>30707</v>
      </c>
      <c r="R5" s="215"/>
      <c r="S5" s="215"/>
      <c r="T5" s="215"/>
      <c r="U5" s="215"/>
      <c r="V5" s="215"/>
      <c r="W5" s="215"/>
      <c r="X5" s="215"/>
      <c r="Y5" s="215"/>
      <c r="Z5" s="215"/>
    </row>
    <row r="6" spans="1:26" s="216" customFormat="1" ht="30" customHeight="1">
      <c r="A6" s="1064" t="s">
        <v>507</v>
      </c>
      <c r="B6" s="836">
        <v>13</v>
      </c>
      <c r="C6" s="836"/>
      <c r="D6" s="836">
        <v>8</v>
      </c>
      <c r="E6" s="837">
        <f t="shared" si="0"/>
        <v>21</v>
      </c>
      <c r="F6" s="838">
        <v>362297</v>
      </c>
      <c r="G6" s="836">
        <v>78776</v>
      </c>
      <c r="H6" s="836">
        <v>19059</v>
      </c>
      <c r="I6" s="836">
        <v>177402</v>
      </c>
      <c r="J6" s="836">
        <v>18794</v>
      </c>
      <c r="K6" s="836">
        <v>2512</v>
      </c>
      <c r="L6" s="836">
        <v>1335</v>
      </c>
      <c r="M6" s="836">
        <v>100</v>
      </c>
      <c r="N6" s="836">
        <v>20</v>
      </c>
      <c r="O6" s="836">
        <v>39536</v>
      </c>
      <c r="P6" s="836">
        <v>501370</v>
      </c>
      <c r="Q6" s="839">
        <v>179011</v>
      </c>
      <c r="R6" s="215"/>
      <c r="S6" s="215"/>
      <c r="T6" s="215"/>
      <c r="U6" s="215"/>
      <c r="V6" s="215"/>
      <c r="W6" s="215"/>
      <c r="X6" s="215"/>
      <c r="Y6" s="215"/>
      <c r="Z6" s="215"/>
    </row>
    <row r="7" spans="1:26" s="216" customFormat="1" ht="30" customHeight="1">
      <c r="A7" s="1064" t="s">
        <v>508</v>
      </c>
      <c r="B7" s="836">
        <v>5</v>
      </c>
      <c r="C7" s="836"/>
      <c r="D7" s="836">
        <v>1</v>
      </c>
      <c r="E7" s="837">
        <f t="shared" si="0"/>
        <v>6</v>
      </c>
      <c r="F7" s="838">
        <v>133832</v>
      </c>
      <c r="G7" s="836">
        <v>42983</v>
      </c>
      <c r="H7" s="836">
        <v>3813</v>
      </c>
      <c r="I7" s="836">
        <v>90849</v>
      </c>
      <c r="J7" s="836">
        <v>4309</v>
      </c>
      <c r="K7" s="836">
        <v>496</v>
      </c>
      <c r="L7" s="836">
        <v>1506</v>
      </c>
      <c r="M7" s="836">
        <v>54</v>
      </c>
      <c r="N7" s="836">
        <v>8</v>
      </c>
      <c r="O7" s="836">
        <v>8801</v>
      </c>
      <c r="P7" s="836">
        <v>149244</v>
      </c>
      <c r="Q7" s="839">
        <v>57977</v>
      </c>
      <c r="R7" s="215"/>
      <c r="S7" s="215"/>
      <c r="T7" s="215"/>
      <c r="U7" s="215"/>
      <c r="V7" s="215"/>
      <c r="W7" s="215"/>
      <c r="X7" s="215"/>
      <c r="Y7" s="215"/>
      <c r="Z7" s="215"/>
    </row>
    <row r="8" spans="1:26" s="216" customFormat="1" ht="30" customHeight="1">
      <c r="A8" s="1064" t="s">
        <v>509</v>
      </c>
      <c r="B8" s="836">
        <v>4</v>
      </c>
      <c r="C8" s="836"/>
      <c r="D8" s="836">
        <v>1</v>
      </c>
      <c r="E8" s="837">
        <f t="shared" si="0"/>
        <v>5</v>
      </c>
      <c r="F8" s="838">
        <v>48531</v>
      </c>
      <c r="G8" s="836">
        <v>13060</v>
      </c>
      <c r="H8" s="836">
        <v>1528</v>
      </c>
      <c r="I8" s="836">
        <v>45434</v>
      </c>
      <c r="J8" s="836">
        <v>2035</v>
      </c>
      <c r="K8" s="836">
        <v>275</v>
      </c>
      <c r="L8" s="836">
        <v>123</v>
      </c>
      <c r="M8" s="836">
        <v>45</v>
      </c>
      <c r="N8" s="836">
        <v>8</v>
      </c>
      <c r="O8" s="836">
        <v>2883</v>
      </c>
      <c r="P8" s="836">
        <v>51736</v>
      </c>
      <c r="Q8" s="839">
        <v>10805</v>
      </c>
      <c r="R8" s="215"/>
      <c r="S8" s="215"/>
      <c r="T8" s="215"/>
      <c r="U8" s="215"/>
      <c r="V8" s="215"/>
      <c r="W8" s="215"/>
      <c r="X8" s="215"/>
      <c r="Y8" s="215"/>
      <c r="Z8" s="215"/>
    </row>
    <row r="9" spans="1:26" s="216" customFormat="1" ht="30" customHeight="1">
      <c r="A9" s="1064" t="s">
        <v>510</v>
      </c>
      <c r="B9" s="836">
        <v>3</v>
      </c>
      <c r="C9" s="836"/>
      <c r="D9" s="836">
        <v>2</v>
      </c>
      <c r="E9" s="837">
        <f t="shared" si="0"/>
        <v>5</v>
      </c>
      <c r="F9" s="838">
        <v>53392</v>
      </c>
      <c r="G9" s="836">
        <v>14255</v>
      </c>
      <c r="H9" s="836">
        <v>4444</v>
      </c>
      <c r="I9" s="836">
        <v>44893</v>
      </c>
      <c r="J9" s="836">
        <v>1482</v>
      </c>
      <c r="K9" s="836">
        <v>121</v>
      </c>
      <c r="L9" s="836">
        <v>2040</v>
      </c>
      <c r="M9" s="836">
        <v>41</v>
      </c>
      <c r="N9" s="836">
        <v>6</v>
      </c>
      <c r="O9" s="836">
        <v>3010</v>
      </c>
      <c r="P9" s="836">
        <v>40599</v>
      </c>
      <c r="Q9" s="839">
        <v>18485</v>
      </c>
      <c r="R9" s="215"/>
      <c r="S9" s="215"/>
      <c r="T9" s="215"/>
      <c r="U9" s="215"/>
      <c r="V9" s="215"/>
      <c r="W9" s="215"/>
      <c r="X9" s="215"/>
      <c r="Y9" s="215"/>
      <c r="Z9" s="215"/>
    </row>
    <row r="10" spans="1:26" s="214" customFormat="1" ht="30" customHeight="1">
      <c r="A10" s="1065" t="s">
        <v>514</v>
      </c>
      <c r="B10" s="840">
        <v>6</v>
      </c>
      <c r="C10" s="841">
        <v>1</v>
      </c>
      <c r="D10" s="841">
        <v>2</v>
      </c>
      <c r="E10" s="842">
        <f>SUM(B10:D10)</f>
        <v>9</v>
      </c>
      <c r="F10" s="843">
        <v>107583</v>
      </c>
      <c r="G10" s="841">
        <v>31229</v>
      </c>
      <c r="H10" s="841">
        <v>2817</v>
      </c>
      <c r="I10" s="841">
        <v>72687</v>
      </c>
      <c r="J10" s="841">
        <v>7695</v>
      </c>
      <c r="K10" s="841">
        <v>298</v>
      </c>
      <c r="L10" s="841">
        <v>6370</v>
      </c>
      <c r="M10" s="841">
        <v>77</v>
      </c>
      <c r="N10" s="841">
        <v>10</v>
      </c>
      <c r="O10" s="841">
        <v>14312</v>
      </c>
      <c r="P10" s="844">
        <v>261129</v>
      </c>
      <c r="Q10" s="839">
        <v>103378</v>
      </c>
      <c r="R10" s="223"/>
      <c r="S10" s="223"/>
      <c r="T10" s="223"/>
      <c r="U10" s="223"/>
      <c r="V10" s="223"/>
      <c r="W10" s="223"/>
      <c r="X10" s="223"/>
      <c r="Y10" s="223"/>
      <c r="Z10" s="223"/>
    </row>
    <row r="11" spans="1:26" s="214" customFormat="1" ht="30" customHeight="1">
      <c r="A11" s="1066" t="s">
        <v>513</v>
      </c>
      <c r="B11" s="840">
        <v>7</v>
      </c>
      <c r="C11" s="841">
        <v>1</v>
      </c>
      <c r="D11" s="841">
        <v>2</v>
      </c>
      <c r="E11" s="842">
        <f t="shared" si="0"/>
        <v>10</v>
      </c>
      <c r="F11" s="843">
        <v>183669</v>
      </c>
      <c r="G11" s="841">
        <v>49679</v>
      </c>
      <c r="H11" s="841">
        <v>4925</v>
      </c>
      <c r="I11" s="841">
        <v>110519</v>
      </c>
      <c r="J11" s="841">
        <v>7819</v>
      </c>
      <c r="K11" s="841">
        <v>480</v>
      </c>
      <c r="L11" s="841">
        <v>6271</v>
      </c>
      <c r="M11" s="841">
        <v>109</v>
      </c>
      <c r="N11" s="841">
        <v>11</v>
      </c>
      <c r="O11" s="841">
        <v>20738</v>
      </c>
      <c r="P11" s="844">
        <v>336841</v>
      </c>
      <c r="Q11" s="839">
        <v>153500</v>
      </c>
      <c r="R11" s="223"/>
      <c r="S11" s="223"/>
      <c r="T11" s="223"/>
      <c r="U11" s="223"/>
      <c r="V11" s="223"/>
      <c r="W11" s="223"/>
      <c r="X11" s="223"/>
      <c r="Y11" s="223"/>
      <c r="Z11" s="223"/>
    </row>
    <row r="12" spans="1:26" s="214" customFormat="1" ht="30" customHeight="1">
      <c r="A12" s="1066" t="s">
        <v>515</v>
      </c>
      <c r="B12" s="840">
        <v>3</v>
      </c>
      <c r="C12" s="841"/>
      <c r="D12" s="841">
        <v>3</v>
      </c>
      <c r="E12" s="842">
        <f>SUM(B12:D12)</f>
        <v>6</v>
      </c>
      <c r="F12" s="843">
        <v>91179</v>
      </c>
      <c r="G12" s="841">
        <v>23571</v>
      </c>
      <c r="H12" s="841">
        <v>2759</v>
      </c>
      <c r="I12" s="841">
        <v>58643</v>
      </c>
      <c r="J12" s="841">
        <v>5735</v>
      </c>
      <c r="K12" s="841">
        <v>89</v>
      </c>
      <c r="L12" s="841">
        <v>7736</v>
      </c>
      <c r="M12" s="841">
        <v>120</v>
      </c>
      <c r="N12" s="841">
        <v>11</v>
      </c>
      <c r="O12" s="841">
        <v>15163</v>
      </c>
      <c r="P12" s="844">
        <v>163514</v>
      </c>
      <c r="Q12" s="839">
        <v>53397</v>
      </c>
      <c r="R12" s="223"/>
      <c r="S12" s="223"/>
      <c r="T12" s="223"/>
      <c r="U12" s="223"/>
      <c r="V12" s="223"/>
      <c r="W12" s="223"/>
      <c r="X12" s="223"/>
      <c r="Y12" s="223"/>
      <c r="Z12" s="223"/>
    </row>
    <row r="13" spans="1:26" s="214" customFormat="1" ht="30" customHeight="1">
      <c r="A13" s="1066" t="s">
        <v>1042</v>
      </c>
      <c r="B13" s="836">
        <v>1</v>
      </c>
      <c r="C13" s="836"/>
      <c r="D13" s="836">
        <v>2</v>
      </c>
      <c r="E13" s="837">
        <f t="shared" si="0"/>
        <v>3</v>
      </c>
      <c r="F13" s="838">
        <v>23527</v>
      </c>
      <c r="G13" s="836">
        <v>17905</v>
      </c>
      <c r="H13" s="836"/>
      <c r="I13" s="836">
        <v>23527</v>
      </c>
      <c r="J13" s="836">
        <v>938</v>
      </c>
      <c r="K13" s="836">
        <v>130</v>
      </c>
      <c r="L13" s="836">
        <v>1106</v>
      </c>
      <c r="M13" s="836">
        <v>22</v>
      </c>
      <c r="N13" s="836">
        <v>1</v>
      </c>
      <c r="O13" s="836">
        <v>387</v>
      </c>
      <c r="P13" s="836">
        <v>11623</v>
      </c>
      <c r="Q13" s="839">
        <v>5058</v>
      </c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s="216" customFormat="1" ht="30" customHeight="1">
      <c r="A14" s="1064" t="s">
        <v>500</v>
      </c>
      <c r="B14" s="836">
        <v>13</v>
      </c>
      <c r="C14" s="836"/>
      <c r="D14" s="836">
        <v>9</v>
      </c>
      <c r="E14" s="837">
        <f t="shared" si="0"/>
        <v>22</v>
      </c>
      <c r="F14" s="838">
        <v>416707</v>
      </c>
      <c r="G14" s="836">
        <v>91210</v>
      </c>
      <c r="H14" s="836">
        <v>13649</v>
      </c>
      <c r="I14" s="836">
        <v>157315</v>
      </c>
      <c r="J14" s="836">
        <v>10315</v>
      </c>
      <c r="K14" s="836">
        <v>803</v>
      </c>
      <c r="L14" s="836">
        <v>6600</v>
      </c>
      <c r="M14" s="836">
        <v>132</v>
      </c>
      <c r="N14" s="836">
        <v>17</v>
      </c>
      <c r="O14" s="836">
        <v>29289</v>
      </c>
      <c r="P14" s="836">
        <v>482475</v>
      </c>
      <c r="Q14" s="839">
        <v>160259</v>
      </c>
      <c r="R14" s="215"/>
      <c r="S14" s="215"/>
      <c r="T14" s="215"/>
      <c r="U14" s="215"/>
      <c r="V14" s="215"/>
      <c r="W14" s="215"/>
      <c r="X14" s="215"/>
      <c r="Y14" s="215"/>
      <c r="Z14" s="215"/>
    </row>
    <row r="15" spans="1:26" s="216" customFormat="1" ht="30" customHeight="1">
      <c r="A15" s="1064" t="s">
        <v>501</v>
      </c>
      <c r="B15" s="836">
        <v>2</v>
      </c>
      <c r="C15" s="836"/>
      <c r="D15" s="836">
        <v>4</v>
      </c>
      <c r="E15" s="837">
        <f t="shared" si="0"/>
        <v>6</v>
      </c>
      <c r="F15" s="838">
        <v>118211</v>
      </c>
      <c r="G15" s="836">
        <v>24459</v>
      </c>
      <c r="H15" s="836">
        <v>2575</v>
      </c>
      <c r="I15" s="836">
        <v>78139</v>
      </c>
      <c r="J15" s="836">
        <v>3755</v>
      </c>
      <c r="K15" s="836">
        <v>189</v>
      </c>
      <c r="L15" s="836">
        <v>2033</v>
      </c>
      <c r="M15" s="836">
        <v>55</v>
      </c>
      <c r="N15" s="836">
        <v>7</v>
      </c>
      <c r="O15" s="836">
        <v>4170</v>
      </c>
      <c r="P15" s="836">
        <v>110921</v>
      </c>
      <c r="Q15" s="839">
        <v>34507</v>
      </c>
      <c r="R15" s="215"/>
      <c r="S15" s="215"/>
      <c r="T15" s="215"/>
      <c r="U15" s="215"/>
      <c r="V15" s="215"/>
      <c r="W15" s="215"/>
      <c r="X15" s="215"/>
      <c r="Y15" s="215"/>
      <c r="Z15" s="215"/>
    </row>
    <row r="16" spans="1:26" s="216" customFormat="1" ht="30" customHeight="1">
      <c r="A16" s="1064" t="s">
        <v>502</v>
      </c>
      <c r="B16" s="836">
        <v>4</v>
      </c>
      <c r="C16" s="836"/>
      <c r="D16" s="836">
        <v>1</v>
      </c>
      <c r="E16" s="837">
        <f t="shared" si="0"/>
        <v>5</v>
      </c>
      <c r="F16" s="838">
        <v>69646</v>
      </c>
      <c r="G16" s="836">
        <v>19243</v>
      </c>
      <c r="H16" s="836">
        <v>3355</v>
      </c>
      <c r="I16" s="836">
        <v>60509</v>
      </c>
      <c r="J16" s="836">
        <v>3952</v>
      </c>
      <c r="K16" s="836">
        <v>188</v>
      </c>
      <c r="L16" s="836">
        <v>3649</v>
      </c>
      <c r="M16" s="836">
        <v>56</v>
      </c>
      <c r="N16" s="836">
        <v>7</v>
      </c>
      <c r="O16" s="836">
        <v>2707</v>
      </c>
      <c r="P16" s="836">
        <v>102252</v>
      </c>
      <c r="Q16" s="839">
        <v>39102</v>
      </c>
      <c r="R16" s="215"/>
      <c r="S16" s="215"/>
      <c r="T16" s="215"/>
      <c r="U16" s="215"/>
      <c r="V16" s="215"/>
      <c r="W16" s="215"/>
      <c r="X16" s="215"/>
      <c r="Y16" s="215"/>
      <c r="Z16" s="215"/>
    </row>
    <row r="17" spans="1:26" s="216" customFormat="1" ht="30" customHeight="1">
      <c r="A17" s="1064" t="s">
        <v>503</v>
      </c>
      <c r="B17" s="836">
        <v>2</v>
      </c>
      <c r="C17" s="836"/>
      <c r="D17" s="836">
        <v>2</v>
      </c>
      <c r="E17" s="837">
        <f t="shared" si="0"/>
        <v>4</v>
      </c>
      <c r="F17" s="838">
        <v>88487</v>
      </c>
      <c r="G17" s="836">
        <v>22039</v>
      </c>
      <c r="H17" s="836">
        <v>2994</v>
      </c>
      <c r="I17" s="836">
        <v>64298</v>
      </c>
      <c r="J17" s="836">
        <v>3661</v>
      </c>
      <c r="K17" s="836">
        <v>94</v>
      </c>
      <c r="L17" s="836">
        <v>823</v>
      </c>
      <c r="M17" s="836">
        <v>43</v>
      </c>
      <c r="N17" s="836">
        <v>6</v>
      </c>
      <c r="O17" s="836">
        <v>2010</v>
      </c>
      <c r="P17" s="836">
        <v>40640</v>
      </c>
      <c r="Q17" s="839">
        <v>9974</v>
      </c>
      <c r="R17" s="215"/>
      <c r="S17" s="215"/>
      <c r="T17" s="215"/>
      <c r="U17" s="215"/>
      <c r="V17" s="215"/>
      <c r="W17" s="215"/>
      <c r="X17" s="215"/>
      <c r="Y17" s="215"/>
      <c r="Z17" s="215"/>
    </row>
    <row r="18" spans="1:26" s="214" customFormat="1" ht="30" customHeight="1">
      <c r="A18" s="1064" t="s">
        <v>496</v>
      </c>
      <c r="B18" s="836">
        <v>6</v>
      </c>
      <c r="C18" s="836"/>
      <c r="D18" s="836">
        <v>7</v>
      </c>
      <c r="E18" s="837">
        <f t="shared" si="0"/>
        <v>13</v>
      </c>
      <c r="F18" s="838">
        <v>581446</v>
      </c>
      <c r="G18" s="836">
        <v>167874</v>
      </c>
      <c r="H18" s="836">
        <v>17172</v>
      </c>
      <c r="I18" s="836">
        <v>212453</v>
      </c>
      <c r="J18" s="836">
        <v>20616</v>
      </c>
      <c r="K18" s="836">
        <v>4311</v>
      </c>
      <c r="L18" s="836">
        <v>18388</v>
      </c>
      <c r="M18" s="836">
        <v>225</v>
      </c>
      <c r="N18" s="836">
        <v>15</v>
      </c>
      <c r="O18" s="2275">
        <v>295719</v>
      </c>
      <c r="P18" s="836">
        <v>1499280</v>
      </c>
      <c r="Q18" s="839">
        <v>410054</v>
      </c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214" customFormat="1" ht="30" customHeight="1">
      <c r="A19" s="1064" t="s">
        <v>497</v>
      </c>
      <c r="B19" s="836"/>
      <c r="C19" s="836"/>
      <c r="D19" s="836">
        <v>1</v>
      </c>
      <c r="E19" s="837">
        <f t="shared" si="0"/>
        <v>1</v>
      </c>
      <c r="F19" s="838">
        <v>79912</v>
      </c>
      <c r="G19" s="836">
        <v>20975</v>
      </c>
      <c r="H19" s="836">
        <v>3169</v>
      </c>
      <c r="I19" s="836">
        <v>48032</v>
      </c>
      <c r="J19" s="836">
        <v>3480</v>
      </c>
      <c r="K19" s="836">
        <v>582</v>
      </c>
      <c r="L19" s="836">
        <v>4323</v>
      </c>
      <c r="M19" s="836">
        <v>40</v>
      </c>
      <c r="N19" s="836">
        <v>8</v>
      </c>
      <c r="O19" s="2276"/>
      <c r="P19" s="836">
        <v>256621</v>
      </c>
      <c r="Q19" s="839">
        <v>76182</v>
      </c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214" customFormat="1" ht="30" customHeight="1">
      <c r="A20" s="1064" t="s">
        <v>498</v>
      </c>
      <c r="B20" s="836"/>
      <c r="C20" s="836"/>
      <c r="D20" s="836">
        <v>1</v>
      </c>
      <c r="E20" s="837">
        <f t="shared" si="0"/>
        <v>1</v>
      </c>
      <c r="F20" s="838">
        <v>106071</v>
      </c>
      <c r="G20" s="836">
        <v>35005</v>
      </c>
      <c r="H20" s="836">
        <v>3434</v>
      </c>
      <c r="I20" s="836">
        <v>76935</v>
      </c>
      <c r="J20" s="836">
        <v>4329</v>
      </c>
      <c r="K20" s="836">
        <v>993</v>
      </c>
      <c r="L20" s="836">
        <v>2138</v>
      </c>
      <c r="M20" s="836">
        <v>34</v>
      </c>
      <c r="N20" s="836">
        <v>7</v>
      </c>
      <c r="O20" s="2276"/>
      <c r="P20" s="836">
        <v>189464</v>
      </c>
      <c r="Q20" s="839">
        <v>66925</v>
      </c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214" customFormat="1" ht="30" customHeight="1">
      <c r="A21" s="1064" t="s">
        <v>499</v>
      </c>
      <c r="B21" s="836"/>
      <c r="C21" s="836"/>
      <c r="D21" s="836">
        <v>3</v>
      </c>
      <c r="E21" s="837">
        <f t="shared" si="0"/>
        <v>3</v>
      </c>
      <c r="F21" s="838">
        <v>28694</v>
      </c>
      <c r="G21" s="836">
        <v>5178</v>
      </c>
      <c r="H21" s="836">
        <v>3096</v>
      </c>
      <c r="I21" s="836">
        <v>26485</v>
      </c>
      <c r="J21" s="836">
        <v>1160</v>
      </c>
      <c r="K21" s="836">
        <v>663</v>
      </c>
      <c r="L21" s="836">
        <v>1368</v>
      </c>
      <c r="M21" s="836">
        <v>0</v>
      </c>
      <c r="N21" s="836">
        <v>2</v>
      </c>
      <c r="O21" s="2277"/>
      <c r="P21" s="836">
        <v>18263</v>
      </c>
      <c r="Q21" s="839">
        <v>2697</v>
      </c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222" customFormat="1" ht="30" customHeight="1">
      <c r="A22" s="1064" t="s">
        <v>512</v>
      </c>
      <c r="B22" s="836">
        <v>3</v>
      </c>
      <c r="C22" s="836"/>
      <c r="D22" s="836">
        <v>4</v>
      </c>
      <c r="E22" s="837">
        <f t="shared" si="0"/>
        <v>7</v>
      </c>
      <c r="F22" s="838">
        <v>91114</v>
      </c>
      <c r="G22" s="836">
        <v>24842</v>
      </c>
      <c r="H22" s="836">
        <v>1092</v>
      </c>
      <c r="I22" s="836">
        <v>41311</v>
      </c>
      <c r="J22" s="836">
        <v>4196</v>
      </c>
      <c r="K22" s="836">
        <v>756</v>
      </c>
      <c r="L22" s="836">
        <v>2420</v>
      </c>
      <c r="M22" s="836">
        <v>14</v>
      </c>
      <c r="N22" s="836">
        <v>6</v>
      </c>
      <c r="O22" s="836">
        <v>13110</v>
      </c>
      <c r="P22" s="836">
        <v>67387</v>
      </c>
      <c r="Q22" s="839">
        <v>27210</v>
      </c>
      <c r="R22" s="221"/>
      <c r="S22" s="221"/>
      <c r="T22" s="221"/>
      <c r="U22" s="221"/>
      <c r="V22" s="221"/>
      <c r="W22" s="221"/>
      <c r="X22" s="221"/>
      <c r="Y22" s="221"/>
      <c r="Z22" s="221"/>
    </row>
    <row r="23" spans="1:26" s="225" customFormat="1" ht="30" customHeight="1">
      <c r="A23" s="1064" t="s">
        <v>516</v>
      </c>
      <c r="B23" s="845">
        <v>2</v>
      </c>
      <c r="C23" s="845"/>
      <c r="D23" s="845">
        <v>19</v>
      </c>
      <c r="E23" s="846">
        <f t="shared" si="0"/>
        <v>21</v>
      </c>
      <c r="F23" s="847">
        <v>138153</v>
      </c>
      <c r="G23" s="845">
        <v>33957</v>
      </c>
      <c r="H23" s="845">
        <v>6024</v>
      </c>
      <c r="I23" s="845">
        <v>96100</v>
      </c>
      <c r="J23" s="845">
        <v>5645</v>
      </c>
      <c r="K23" s="845">
        <v>683</v>
      </c>
      <c r="L23" s="845">
        <v>4771</v>
      </c>
      <c r="M23" s="845">
        <v>93</v>
      </c>
      <c r="N23" s="845">
        <v>8</v>
      </c>
      <c r="O23" s="845">
        <v>19414</v>
      </c>
      <c r="P23" s="845">
        <v>162196</v>
      </c>
      <c r="Q23" s="848">
        <v>55786</v>
      </c>
      <c r="R23" s="224"/>
      <c r="S23" s="224"/>
      <c r="T23" s="224"/>
      <c r="U23" s="224"/>
      <c r="V23" s="224"/>
      <c r="W23" s="224"/>
      <c r="X23" s="224"/>
      <c r="Y23" s="224"/>
      <c r="Z23" s="224"/>
    </row>
    <row r="24" spans="1:26" s="225" customFormat="1" ht="30" customHeight="1">
      <c r="A24" s="1064" t="s">
        <v>1045</v>
      </c>
      <c r="B24" s="845">
        <v>1</v>
      </c>
      <c r="C24" s="845"/>
      <c r="D24" s="845">
        <v>3</v>
      </c>
      <c r="E24" s="846">
        <f t="shared" si="0"/>
        <v>4</v>
      </c>
      <c r="F24" s="847">
        <v>20938</v>
      </c>
      <c r="G24" s="845">
        <v>6703</v>
      </c>
      <c r="H24" s="845">
        <v>807</v>
      </c>
      <c r="I24" s="845">
        <v>20249</v>
      </c>
      <c r="J24" s="845">
        <v>355</v>
      </c>
      <c r="K24" s="845">
        <v>154</v>
      </c>
      <c r="L24" s="845">
        <v>210</v>
      </c>
      <c r="M24" s="845">
        <v>21</v>
      </c>
      <c r="N24" s="845">
        <v>4</v>
      </c>
      <c r="O24" s="845">
        <v>1535</v>
      </c>
      <c r="P24" s="845">
        <v>22229</v>
      </c>
      <c r="Q24" s="848">
        <v>7461</v>
      </c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s="225" customFormat="1" ht="30" customHeight="1">
      <c r="A25" s="1064" t="s">
        <v>517</v>
      </c>
      <c r="B25" s="845">
        <v>1</v>
      </c>
      <c r="C25" s="845"/>
      <c r="D25" s="845">
        <v>1</v>
      </c>
      <c r="E25" s="846">
        <f t="shared" si="0"/>
        <v>2</v>
      </c>
      <c r="F25" s="847">
        <v>88769</v>
      </c>
      <c r="G25" s="845">
        <v>27062</v>
      </c>
      <c r="H25" s="845">
        <v>2216</v>
      </c>
      <c r="I25" s="845">
        <v>61433</v>
      </c>
      <c r="J25" s="845">
        <v>2601</v>
      </c>
      <c r="K25" s="845">
        <v>154</v>
      </c>
      <c r="L25" s="845">
        <v>535</v>
      </c>
      <c r="M25" s="845">
        <v>27</v>
      </c>
      <c r="N25" s="845">
        <v>2</v>
      </c>
      <c r="O25" s="845">
        <v>8734</v>
      </c>
      <c r="P25" s="845">
        <v>34554</v>
      </c>
      <c r="Q25" s="848">
        <v>15096</v>
      </c>
      <c r="R25" s="224"/>
      <c r="S25" s="224"/>
      <c r="T25" s="224"/>
      <c r="U25" s="224"/>
      <c r="V25" s="224"/>
      <c r="W25" s="224"/>
      <c r="X25" s="224"/>
      <c r="Y25" s="224"/>
      <c r="Z25" s="224"/>
    </row>
    <row r="26" spans="1:26" s="225" customFormat="1" ht="30" customHeight="1">
      <c r="A26" s="1064" t="s">
        <v>518</v>
      </c>
      <c r="B26" s="845">
        <v>3</v>
      </c>
      <c r="C26" s="845"/>
      <c r="D26" s="845">
        <v>9</v>
      </c>
      <c r="E26" s="846">
        <f t="shared" si="0"/>
        <v>12</v>
      </c>
      <c r="F26" s="847">
        <v>99173</v>
      </c>
      <c r="G26" s="845">
        <v>20135</v>
      </c>
      <c r="H26" s="845">
        <v>998</v>
      </c>
      <c r="I26" s="845">
        <v>72562</v>
      </c>
      <c r="J26" s="845">
        <v>2438</v>
      </c>
      <c r="K26" s="845">
        <v>337</v>
      </c>
      <c r="L26" s="845">
        <v>793</v>
      </c>
      <c r="M26" s="845">
        <v>50</v>
      </c>
      <c r="N26" s="845">
        <v>6</v>
      </c>
      <c r="O26" s="845">
        <v>35327</v>
      </c>
      <c r="P26" s="845">
        <v>159688</v>
      </c>
      <c r="Q26" s="848">
        <v>45085</v>
      </c>
      <c r="R26" s="224"/>
      <c r="S26" s="224"/>
      <c r="T26" s="224"/>
      <c r="U26" s="224"/>
      <c r="V26" s="224"/>
      <c r="W26" s="224"/>
      <c r="X26" s="224"/>
      <c r="Y26" s="224"/>
      <c r="Z26" s="224"/>
    </row>
    <row r="27" spans="1:26" s="225" customFormat="1" ht="30" customHeight="1">
      <c r="A27" s="1064" t="s">
        <v>519</v>
      </c>
      <c r="B27" s="845">
        <v>3</v>
      </c>
      <c r="C27" s="845"/>
      <c r="D27" s="845">
        <v>9</v>
      </c>
      <c r="E27" s="846">
        <f t="shared" si="0"/>
        <v>12</v>
      </c>
      <c r="F27" s="847">
        <v>100643</v>
      </c>
      <c r="G27" s="845">
        <v>29506</v>
      </c>
      <c r="H27" s="845">
        <v>2583</v>
      </c>
      <c r="I27" s="845">
        <v>71234</v>
      </c>
      <c r="J27" s="845">
        <v>4954</v>
      </c>
      <c r="K27" s="845">
        <v>154</v>
      </c>
      <c r="L27" s="845">
        <v>5435</v>
      </c>
      <c r="M27" s="845">
        <v>110</v>
      </c>
      <c r="N27" s="845">
        <v>9</v>
      </c>
      <c r="O27" s="845">
        <v>28918</v>
      </c>
      <c r="P27" s="845">
        <v>173645</v>
      </c>
      <c r="Q27" s="848">
        <v>36317</v>
      </c>
      <c r="R27" s="224"/>
      <c r="S27" s="224"/>
      <c r="T27" s="224"/>
      <c r="U27" s="224"/>
      <c r="V27" s="224"/>
      <c r="W27" s="224"/>
      <c r="X27" s="224"/>
      <c r="Y27" s="224"/>
      <c r="Z27" s="224"/>
    </row>
    <row r="28" spans="1:26" s="220" customFormat="1" ht="30" customHeight="1">
      <c r="A28" s="1064" t="s">
        <v>505</v>
      </c>
      <c r="B28" s="836">
        <v>3</v>
      </c>
      <c r="C28" s="836"/>
      <c r="D28" s="836">
        <v>7</v>
      </c>
      <c r="E28" s="837">
        <f t="shared" si="0"/>
        <v>10</v>
      </c>
      <c r="F28" s="838">
        <v>182748</v>
      </c>
      <c r="G28" s="836">
        <v>45792</v>
      </c>
      <c r="H28" s="836">
        <v>6578</v>
      </c>
      <c r="I28" s="836">
        <v>72375</v>
      </c>
      <c r="J28" s="836">
        <v>4652</v>
      </c>
      <c r="K28" s="836">
        <v>789</v>
      </c>
      <c r="L28" s="836">
        <v>2716</v>
      </c>
      <c r="M28" s="836">
        <v>76</v>
      </c>
      <c r="N28" s="836">
        <v>8</v>
      </c>
      <c r="O28" s="2263">
        <v>30806</v>
      </c>
      <c r="P28" s="836">
        <v>97088</v>
      </c>
      <c r="Q28" s="839">
        <v>39994</v>
      </c>
      <c r="R28" s="219"/>
      <c r="S28" s="219"/>
      <c r="T28" s="219"/>
      <c r="U28" s="219"/>
      <c r="V28" s="219"/>
      <c r="W28" s="219"/>
      <c r="X28" s="219"/>
      <c r="Y28" s="219"/>
      <c r="Z28" s="219"/>
    </row>
    <row r="29" spans="1:26" s="220" customFormat="1" ht="30" customHeight="1">
      <c r="A29" s="1064" t="s">
        <v>506</v>
      </c>
      <c r="B29" s="836">
        <v>1</v>
      </c>
      <c r="C29" s="836"/>
      <c r="D29" s="836">
        <v>4</v>
      </c>
      <c r="E29" s="837">
        <f t="shared" si="0"/>
        <v>5</v>
      </c>
      <c r="F29" s="838">
        <v>95425</v>
      </c>
      <c r="G29" s="836">
        <v>31077</v>
      </c>
      <c r="H29" s="836">
        <v>3337</v>
      </c>
      <c r="I29" s="836">
        <v>71710</v>
      </c>
      <c r="J29" s="836">
        <v>2898</v>
      </c>
      <c r="K29" s="836">
        <v>158</v>
      </c>
      <c r="L29" s="836">
        <v>1048</v>
      </c>
      <c r="M29" s="836">
        <v>85</v>
      </c>
      <c r="N29" s="836">
        <v>11</v>
      </c>
      <c r="O29" s="2264"/>
      <c r="P29" s="836">
        <v>71857</v>
      </c>
      <c r="Q29" s="839">
        <v>34766</v>
      </c>
      <c r="R29" s="219"/>
      <c r="S29" s="219"/>
      <c r="T29" s="219"/>
      <c r="U29" s="219"/>
      <c r="V29" s="219"/>
      <c r="W29" s="219"/>
      <c r="X29" s="219"/>
      <c r="Y29" s="219"/>
      <c r="Z29" s="219"/>
    </row>
    <row r="30" spans="1:26" s="214" customFormat="1" ht="30" customHeight="1">
      <c r="A30" s="1064" t="s">
        <v>511</v>
      </c>
      <c r="B30" s="836">
        <v>5</v>
      </c>
      <c r="C30" s="836"/>
      <c r="D30" s="836">
        <v>6</v>
      </c>
      <c r="E30" s="837">
        <f t="shared" si="0"/>
        <v>11</v>
      </c>
      <c r="F30" s="838">
        <v>144151</v>
      </c>
      <c r="G30" s="836">
        <v>40565</v>
      </c>
      <c r="H30" s="836">
        <v>17332</v>
      </c>
      <c r="I30" s="836">
        <v>97186</v>
      </c>
      <c r="J30" s="836">
        <v>5735</v>
      </c>
      <c r="K30" s="836">
        <v>1223</v>
      </c>
      <c r="L30" s="836">
        <v>113</v>
      </c>
      <c r="M30" s="836">
        <v>56</v>
      </c>
      <c r="N30" s="836">
        <v>7</v>
      </c>
      <c r="O30" s="836">
        <v>15965</v>
      </c>
      <c r="P30" s="836">
        <v>153681</v>
      </c>
      <c r="Q30" s="839">
        <v>58842</v>
      </c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214" customFormat="1" ht="30" customHeight="1">
      <c r="A31" s="1064" t="s">
        <v>1039</v>
      </c>
      <c r="B31" s="836"/>
      <c r="C31" s="836"/>
      <c r="D31" s="836">
        <v>2</v>
      </c>
      <c r="E31" s="837">
        <f t="shared" si="0"/>
        <v>2</v>
      </c>
      <c r="F31" s="838">
        <v>26942</v>
      </c>
      <c r="G31" s="836">
        <v>11149</v>
      </c>
      <c r="H31" s="836">
        <v>2229</v>
      </c>
      <c r="I31" s="836">
        <v>16385</v>
      </c>
      <c r="J31" s="836">
        <v>902</v>
      </c>
      <c r="K31" s="836">
        <v>60</v>
      </c>
      <c r="L31" s="836">
        <v>500</v>
      </c>
      <c r="M31" s="836">
        <v>7</v>
      </c>
      <c r="N31" s="836">
        <v>1</v>
      </c>
      <c r="O31" s="836">
        <v>576</v>
      </c>
      <c r="P31" s="836">
        <v>7411</v>
      </c>
      <c r="Q31" s="839">
        <v>2608</v>
      </c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214" customFormat="1" ht="30" customHeight="1">
      <c r="A32" s="1064" t="s">
        <v>1040</v>
      </c>
      <c r="B32" s="836"/>
      <c r="C32" s="836"/>
      <c r="D32" s="836">
        <v>2</v>
      </c>
      <c r="E32" s="837">
        <f t="shared" si="0"/>
        <v>2</v>
      </c>
      <c r="F32" s="838">
        <v>18059</v>
      </c>
      <c r="G32" s="836">
        <v>5445</v>
      </c>
      <c r="H32" s="836">
        <v>1080</v>
      </c>
      <c r="I32" s="836">
        <v>15424</v>
      </c>
      <c r="J32" s="836">
        <v>809</v>
      </c>
      <c r="K32" s="836">
        <v>71</v>
      </c>
      <c r="L32" s="836">
        <v>506</v>
      </c>
      <c r="M32" s="836">
        <v>4</v>
      </c>
      <c r="N32" s="836"/>
      <c r="O32" s="836">
        <v>394</v>
      </c>
      <c r="P32" s="836">
        <v>3993</v>
      </c>
      <c r="Q32" s="839">
        <v>1530</v>
      </c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214" customFormat="1" ht="30" customHeight="1">
      <c r="A33" s="1064" t="s">
        <v>1041</v>
      </c>
      <c r="B33" s="836"/>
      <c r="C33" s="836"/>
      <c r="D33" s="836">
        <v>1</v>
      </c>
      <c r="E33" s="837">
        <f t="shared" si="0"/>
        <v>1</v>
      </c>
      <c r="F33" s="838">
        <v>9271</v>
      </c>
      <c r="G33" s="836">
        <v>2479</v>
      </c>
      <c r="H33" s="836">
        <v>272</v>
      </c>
      <c r="I33" s="836">
        <v>7145</v>
      </c>
      <c r="J33" s="836">
        <v>245</v>
      </c>
      <c r="K33" s="836"/>
      <c r="L33" s="836">
        <v>502</v>
      </c>
      <c r="M33" s="836">
        <v>3</v>
      </c>
      <c r="N33" s="836"/>
      <c r="O33" s="836">
        <v>159</v>
      </c>
      <c r="P33" s="836">
        <v>854</v>
      </c>
      <c r="Q33" s="839">
        <v>250</v>
      </c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214" customFormat="1" ht="30" customHeight="1">
      <c r="A34" s="1064" t="s">
        <v>1046</v>
      </c>
      <c r="B34" s="836">
        <v>2</v>
      </c>
      <c r="C34" s="836"/>
      <c r="D34" s="836">
        <v>3</v>
      </c>
      <c r="E34" s="837">
        <f t="shared" si="0"/>
        <v>5</v>
      </c>
      <c r="F34" s="1262">
        <v>103834</v>
      </c>
      <c r="G34" s="836">
        <v>23870</v>
      </c>
      <c r="H34" s="836">
        <v>7965</v>
      </c>
      <c r="I34" s="836">
        <v>58045</v>
      </c>
      <c r="J34" s="836">
        <v>19119</v>
      </c>
      <c r="K34" s="836">
        <v>1707</v>
      </c>
      <c r="L34" s="836">
        <v>8542</v>
      </c>
      <c r="M34" s="836">
        <v>31</v>
      </c>
      <c r="N34" s="836">
        <v>6</v>
      </c>
      <c r="O34" s="836">
        <v>7737</v>
      </c>
      <c r="P34" s="836">
        <v>45489</v>
      </c>
      <c r="Q34" s="1263">
        <v>19637</v>
      </c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17" ht="30" customHeight="1" thickBot="1">
      <c r="A35" s="1266" t="s">
        <v>1047</v>
      </c>
      <c r="B35" s="1267">
        <v>2</v>
      </c>
      <c r="C35" s="1267"/>
      <c r="D35" s="1267"/>
      <c r="E35" s="1267">
        <f t="shared" si="0"/>
        <v>2</v>
      </c>
      <c r="F35" s="1267">
        <v>78155</v>
      </c>
      <c r="G35" s="1267">
        <v>30330</v>
      </c>
      <c r="H35" s="1267">
        <v>3561</v>
      </c>
      <c r="I35" s="1267">
        <v>43051</v>
      </c>
      <c r="J35" s="1267">
        <v>5650</v>
      </c>
      <c r="K35" s="1267">
        <v>1681</v>
      </c>
      <c r="L35" s="1267">
        <v>84</v>
      </c>
      <c r="M35" s="1267">
        <v>33</v>
      </c>
      <c r="N35" s="1267">
        <v>6</v>
      </c>
      <c r="O35" s="1267">
        <v>4629</v>
      </c>
      <c r="P35" s="1267">
        <v>44350</v>
      </c>
      <c r="Q35" s="1268">
        <v>30159</v>
      </c>
    </row>
    <row r="36" spans="1:17" ht="30" customHeight="1">
      <c r="A36" s="1260" t="s">
        <v>1048</v>
      </c>
      <c r="B36" s="835">
        <v>2</v>
      </c>
      <c r="C36" s="835"/>
      <c r="D36" s="835"/>
      <c r="E36" s="835">
        <f t="shared" si="0"/>
        <v>2</v>
      </c>
      <c r="F36" s="835">
        <v>54432</v>
      </c>
      <c r="G36" s="835">
        <v>15405</v>
      </c>
      <c r="H36" s="835">
        <v>418</v>
      </c>
      <c r="I36" s="835">
        <v>40375</v>
      </c>
      <c r="J36" s="835">
        <v>6974</v>
      </c>
      <c r="K36" s="835">
        <v>755</v>
      </c>
      <c r="L36" s="835">
        <v>663</v>
      </c>
      <c r="M36" s="835">
        <v>25</v>
      </c>
      <c r="N36" s="835">
        <v>5</v>
      </c>
      <c r="O36" s="835">
        <v>2869</v>
      </c>
      <c r="P36" s="835">
        <v>25768</v>
      </c>
      <c r="Q36" s="1261">
        <v>16290</v>
      </c>
    </row>
    <row r="37" spans="1:17" ht="30" customHeight="1">
      <c r="A37" s="1066" t="s">
        <v>1049</v>
      </c>
      <c r="B37" s="846"/>
      <c r="C37" s="846"/>
      <c r="D37" s="846">
        <v>1</v>
      </c>
      <c r="E37" s="846">
        <f t="shared" si="0"/>
        <v>1</v>
      </c>
      <c r="F37" s="846">
        <v>9178</v>
      </c>
      <c r="G37" s="846">
        <v>1663</v>
      </c>
      <c r="H37" s="846">
        <v>269</v>
      </c>
      <c r="I37" s="846">
        <v>9178</v>
      </c>
      <c r="J37" s="846">
        <v>696</v>
      </c>
      <c r="K37" s="846">
        <v>27</v>
      </c>
      <c r="L37" s="846">
        <v>353</v>
      </c>
      <c r="M37" s="846"/>
      <c r="N37" s="846"/>
      <c r="O37" s="846">
        <v>350</v>
      </c>
      <c r="P37" s="846">
        <v>583</v>
      </c>
      <c r="Q37" s="849">
        <v>182</v>
      </c>
    </row>
    <row r="38" spans="1:17" ht="30" customHeight="1">
      <c r="A38" s="1066" t="s">
        <v>1050</v>
      </c>
      <c r="B38" s="846"/>
      <c r="C38" s="846"/>
      <c r="D38" s="846">
        <v>1</v>
      </c>
      <c r="E38" s="846">
        <f t="shared" si="0"/>
        <v>1</v>
      </c>
      <c r="F38" s="846">
        <v>5444</v>
      </c>
      <c r="G38" s="846">
        <v>1105</v>
      </c>
      <c r="H38" s="846">
        <v>110</v>
      </c>
      <c r="I38" s="846">
        <v>5444</v>
      </c>
      <c r="J38" s="846">
        <v>51</v>
      </c>
      <c r="K38" s="846">
        <v>1</v>
      </c>
      <c r="L38" s="846"/>
      <c r="M38" s="846"/>
      <c r="N38" s="846"/>
      <c r="O38" s="846">
        <v>93</v>
      </c>
      <c r="P38" s="846">
        <v>74</v>
      </c>
      <c r="Q38" s="849">
        <v>3</v>
      </c>
    </row>
    <row r="39" spans="1:17" ht="30" customHeight="1">
      <c r="A39" s="1066" t="s">
        <v>1051</v>
      </c>
      <c r="B39" s="846"/>
      <c r="C39" s="846"/>
      <c r="D39" s="846">
        <v>1</v>
      </c>
      <c r="E39" s="846">
        <f>SUM(B39:D39)</f>
        <v>1</v>
      </c>
      <c r="F39" s="846">
        <v>3348</v>
      </c>
      <c r="G39" s="846">
        <v>750</v>
      </c>
      <c r="H39" s="846">
        <v>135</v>
      </c>
      <c r="I39" s="846">
        <v>3348</v>
      </c>
      <c r="J39" s="846">
        <v>67</v>
      </c>
      <c r="K39" s="846"/>
      <c r="L39" s="846"/>
      <c r="M39" s="846"/>
      <c r="N39" s="846"/>
      <c r="O39" s="846">
        <v>93</v>
      </c>
      <c r="P39" s="846">
        <v>80</v>
      </c>
      <c r="Q39" s="849">
        <v>4</v>
      </c>
    </row>
    <row r="40" spans="1:17" ht="30" customHeight="1">
      <c r="A40" s="1066" t="s">
        <v>1052</v>
      </c>
      <c r="B40" s="846"/>
      <c r="C40" s="846"/>
      <c r="D40" s="846">
        <v>1</v>
      </c>
      <c r="E40" s="846">
        <f>SUM(B40:D40)</f>
        <v>1</v>
      </c>
      <c r="F40" s="846">
        <v>5305</v>
      </c>
      <c r="G40" s="846">
        <v>1705</v>
      </c>
      <c r="H40" s="846">
        <v>160</v>
      </c>
      <c r="I40" s="846">
        <v>5305</v>
      </c>
      <c r="J40" s="846">
        <v>653</v>
      </c>
      <c r="K40" s="846">
        <v>15</v>
      </c>
      <c r="L40" s="846"/>
      <c r="M40" s="846"/>
      <c r="N40" s="846"/>
      <c r="O40" s="846">
        <v>176</v>
      </c>
      <c r="P40" s="846">
        <v>271</v>
      </c>
      <c r="Q40" s="849">
        <v>74</v>
      </c>
    </row>
    <row r="41" spans="1:17" ht="30" customHeight="1">
      <c r="A41" s="1066" t="s">
        <v>1053</v>
      </c>
      <c r="B41" s="846"/>
      <c r="C41" s="846"/>
      <c r="D41" s="846">
        <v>1</v>
      </c>
      <c r="E41" s="846">
        <f t="shared" si="0"/>
        <v>1</v>
      </c>
      <c r="F41" s="846">
        <v>5579</v>
      </c>
      <c r="G41" s="846">
        <v>1234</v>
      </c>
      <c r="H41" s="846">
        <v>108</v>
      </c>
      <c r="I41" s="846">
        <v>5579</v>
      </c>
      <c r="J41" s="846">
        <v>79</v>
      </c>
      <c r="K41" s="846">
        <v>19</v>
      </c>
      <c r="L41" s="846"/>
      <c r="M41" s="846"/>
      <c r="N41" s="846"/>
      <c r="O41" s="846">
        <v>174</v>
      </c>
      <c r="P41" s="846">
        <v>226</v>
      </c>
      <c r="Q41" s="849">
        <v>67</v>
      </c>
    </row>
    <row r="42" spans="1:17" ht="30" customHeight="1">
      <c r="A42" s="1066" t="s">
        <v>1054</v>
      </c>
      <c r="B42" s="846"/>
      <c r="C42" s="846"/>
      <c r="D42" s="846">
        <v>1</v>
      </c>
      <c r="E42" s="846">
        <f t="shared" si="0"/>
        <v>1</v>
      </c>
      <c r="F42" s="846">
        <v>5142</v>
      </c>
      <c r="G42" s="846">
        <v>1407</v>
      </c>
      <c r="H42" s="846">
        <v>134</v>
      </c>
      <c r="I42" s="846">
        <v>5142</v>
      </c>
      <c r="J42" s="846">
        <v>84</v>
      </c>
      <c r="K42" s="846">
        <v>12</v>
      </c>
      <c r="L42" s="846"/>
      <c r="M42" s="846"/>
      <c r="N42" s="846"/>
      <c r="O42" s="846">
        <v>168</v>
      </c>
      <c r="P42" s="846">
        <v>255</v>
      </c>
      <c r="Q42" s="849">
        <v>140</v>
      </c>
    </row>
    <row r="43" spans="1:26" s="225" customFormat="1" ht="30" customHeight="1">
      <c r="A43" s="1064" t="s">
        <v>520</v>
      </c>
      <c r="B43" s="845">
        <v>2</v>
      </c>
      <c r="C43" s="845"/>
      <c r="D43" s="845">
        <v>2</v>
      </c>
      <c r="E43" s="846">
        <f t="shared" si="0"/>
        <v>4</v>
      </c>
      <c r="F43" s="847">
        <v>80984</v>
      </c>
      <c r="G43" s="845">
        <v>25610</v>
      </c>
      <c r="H43" s="845">
        <v>3615</v>
      </c>
      <c r="I43" s="845">
        <v>53541</v>
      </c>
      <c r="J43" s="845">
        <v>2542</v>
      </c>
      <c r="K43" s="845">
        <v>165</v>
      </c>
      <c r="L43" s="845"/>
      <c r="M43" s="845">
        <v>41</v>
      </c>
      <c r="N43" s="845">
        <v>5</v>
      </c>
      <c r="O43" s="845">
        <v>6190</v>
      </c>
      <c r="P43" s="845">
        <v>42628</v>
      </c>
      <c r="Q43" s="848">
        <v>22259</v>
      </c>
      <c r="R43" s="224"/>
      <c r="S43" s="224"/>
      <c r="T43" s="224"/>
      <c r="U43" s="224"/>
      <c r="V43" s="224"/>
      <c r="W43" s="224"/>
      <c r="X43" s="224"/>
      <c r="Y43" s="224"/>
      <c r="Z43" s="224"/>
    </row>
    <row r="44" spans="1:26" s="225" customFormat="1" ht="30" customHeight="1">
      <c r="A44" s="1064" t="s">
        <v>521</v>
      </c>
      <c r="B44" s="845">
        <v>2</v>
      </c>
      <c r="C44" s="845"/>
      <c r="D44" s="845">
        <v>2</v>
      </c>
      <c r="E44" s="846">
        <f t="shared" si="0"/>
        <v>4</v>
      </c>
      <c r="F44" s="847">
        <v>71399</v>
      </c>
      <c r="G44" s="845">
        <v>24257</v>
      </c>
      <c r="H44" s="845">
        <v>1981</v>
      </c>
      <c r="I44" s="845">
        <v>53560</v>
      </c>
      <c r="J44" s="845">
        <v>2773</v>
      </c>
      <c r="K44" s="845">
        <v>302</v>
      </c>
      <c r="L44" s="845">
        <v>128</v>
      </c>
      <c r="M44" s="845">
        <v>70</v>
      </c>
      <c r="N44" s="845">
        <v>10</v>
      </c>
      <c r="O44" s="845">
        <v>3656</v>
      </c>
      <c r="P44" s="845">
        <v>21627</v>
      </c>
      <c r="Q44" s="848">
        <v>7328</v>
      </c>
      <c r="R44" s="224"/>
      <c r="S44" s="224"/>
      <c r="T44" s="224"/>
      <c r="U44" s="224"/>
      <c r="V44" s="224"/>
      <c r="W44" s="224"/>
      <c r="X44" s="224"/>
      <c r="Y44" s="224"/>
      <c r="Z44" s="224"/>
    </row>
    <row r="45" spans="1:26" s="218" customFormat="1" ht="30" customHeight="1">
      <c r="A45" s="1064" t="s">
        <v>504</v>
      </c>
      <c r="B45" s="836">
        <v>5</v>
      </c>
      <c r="C45" s="836"/>
      <c r="D45" s="836">
        <v>4</v>
      </c>
      <c r="E45" s="837">
        <f t="shared" si="0"/>
        <v>9</v>
      </c>
      <c r="F45" s="838">
        <v>212520</v>
      </c>
      <c r="G45" s="836">
        <v>52392</v>
      </c>
      <c r="H45" s="836">
        <v>14396</v>
      </c>
      <c r="I45" s="836">
        <v>91444</v>
      </c>
      <c r="J45" s="836">
        <v>6789</v>
      </c>
      <c r="K45" s="836">
        <v>2079</v>
      </c>
      <c r="L45" s="836"/>
      <c r="M45" s="836">
        <v>65</v>
      </c>
      <c r="N45" s="836">
        <v>10</v>
      </c>
      <c r="O45" s="836">
        <v>26248</v>
      </c>
      <c r="P45" s="836">
        <v>149632</v>
      </c>
      <c r="Q45" s="839">
        <v>54095</v>
      </c>
      <c r="R45" s="217"/>
      <c r="S45" s="217"/>
      <c r="T45" s="217"/>
      <c r="U45" s="217"/>
      <c r="V45" s="217"/>
      <c r="W45" s="217"/>
      <c r="X45" s="217"/>
      <c r="Y45" s="217"/>
      <c r="Z45" s="217"/>
    </row>
    <row r="46" spans="1:26" s="218" customFormat="1" ht="30" customHeight="1">
      <c r="A46" s="1064" t="s">
        <v>791</v>
      </c>
      <c r="B46" s="836">
        <v>1</v>
      </c>
      <c r="C46" s="836"/>
      <c r="D46" s="836">
        <v>1</v>
      </c>
      <c r="E46" s="837">
        <f>SUM(B46:D46)</f>
        <v>2</v>
      </c>
      <c r="F46" s="838">
        <v>58282</v>
      </c>
      <c r="G46" s="836">
        <v>20177</v>
      </c>
      <c r="H46" s="836">
        <v>1717</v>
      </c>
      <c r="I46" s="836">
        <v>34689</v>
      </c>
      <c r="J46" s="836">
        <v>1340</v>
      </c>
      <c r="K46" s="836">
        <v>169</v>
      </c>
      <c r="L46" s="836"/>
      <c r="M46" s="836">
        <v>16</v>
      </c>
      <c r="N46" s="836">
        <v>4</v>
      </c>
      <c r="O46" s="836">
        <v>2519</v>
      </c>
      <c r="P46" s="836">
        <v>25365</v>
      </c>
      <c r="Q46" s="839">
        <v>16143</v>
      </c>
      <c r="R46" s="217"/>
      <c r="S46" s="217"/>
      <c r="T46" s="217"/>
      <c r="U46" s="217"/>
      <c r="V46" s="217"/>
      <c r="W46" s="217"/>
      <c r="X46" s="217"/>
      <c r="Y46" s="217"/>
      <c r="Z46" s="217"/>
    </row>
    <row r="47" spans="1:26" s="218" customFormat="1" ht="30" customHeight="1" thickBot="1">
      <c r="A47" s="1271" t="s">
        <v>761</v>
      </c>
      <c r="B47" s="1272"/>
      <c r="C47" s="1272"/>
      <c r="D47" s="1272">
        <v>3</v>
      </c>
      <c r="E47" s="1273">
        <f t="shared" si="0"/>
        <v>3</v>
      </c>
      <c r="F47" s="1274">
        <v>74807</v>
      </c>
      <c r="G47" s="1272">
        <v>17571</v>
      </c>
      <c r="H47" s="1272">
        <v>4427</v>
      </c>
      <c r="I47" s="1272">
        <v>30372</v>
      </c>
      <c r="J47" s="1272">
        <v>1527</v>
      </c>
      <c r="K47" s="1272">
        <v>368</v>
      </c>
      <c r="L47" s="1272"/>
      <c r="M47" s="1272">
        <v>27</v>
      </c>
      <c r="N47" s="1272">
        <v>5</v>
      </c>
      <c r="O47" s="1272">
        <v>3574</v>
      </c>
      <c r="P47" s="1272">
        <v>27935</v>
      </c>
      <c r="Q47" s="1275">
        <v>13709</v>
      </c>
      <c r="R47" s="217"/>
      <c r="S47" s="217"/>
      <c r="T47" s="217"/>
      <c r="U47" s="217"/>
      <c r="V47" s="217"/>
      <c r="W47" s="217"/>
      <c r="X47" s="217"/>
      <c r="Y47" s="217"/>
      <c r="Z47" s="217"/>
    </row>
    <row r="48" spans="1:17" ht="30" customHeight="1" thickBot="1" thickTop="1">
      <c r="A48" s="433" t="s">
        <v>91</v>
      </c>
      <c r="B48" s="850">
        <f aca="true" t="shared" si="1" ref="B48:Q48">SUM(B3:B47)</f>
        <v>134</v>
      </c>
      <c r="C48" s="850">
        <f t="shared" si="1"/>
        <v>2</v>
      </c>
      <c r="D48" s="850">
        <f t="shared" si="1"/>
        <v>149</v>
      </c>
      <c r="E48" s="850">
        <f t="shared" si="1"/>
        <v>285</v>
      </c>
      <c r="F48" s="851">
        <f t="shared" si="1"/>
        <v>5294533</v>
      </c>
      <c r="G48" s="851">
        <f t="shared" si="1"/>
        <v>1337242</v>
      </c>
      <c r="H48" s="851">
        <f t="shared" si="1"/>
        <v>251514</v>
      </c>
      <c r="I48" s="851">
        <f t="shared" si="1"/>
        <v>2721484</v>
      </c>
      <c r="J48" s="851">
        <f t="shared" si="1"/>
        <v>209646</v>
      </c>
      <c r="K48" s="851">
        <f t="shared" si="1"/>
        <v>30592</v>
      </c>
      <c r="L48" s="851">
        <f t="shared" si="1"/>
        <v>107460</v>
      </c>
      <c r="M48" s="851">
        <f t="shared" si="1"/>
        <v>2320</v>
      </c>
      <c r="N48" s="851">
        <f t="shared" si="1"/>
        <v>280</v>
      </c>
      <c r="O48" s="851">
        <f t="shared" si="1"/>
        <v>756414</v>
      </c>
      <c r="P48" s="1269">
        <f t="shared" si="1"/>
        <v>6362186</v>
      </c>
      <c r="Q48" s="1270">
        <f t="shared" si="1"/>
        <v>2260712</v>
      </c>
    </row>
    <row r="49" spans="1:17" ht="24" customHeight="1">
      <c r="A49" s="170"/>
      <c r="B49" s="169"/>
      <c r="C49" s="169"/>
      <c r="D49" s="169"/>
      <c r="E49" s="169"/>
      <c r="F49" s="171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</row>
    <row r="50" spans="1:17" ht="24" customHeight="1">
      <c r="A50" s="172"/>
      <c r="B50" s="169"/>
      <c r="C50" s="169"/>
      <c r="D50" s="169"/>
      <c r="E50" s="169"/>
      <c r="F50" s="171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</row>
    <row r="51" spans="1:17" ht="24" customHeight="1">
      <c r="A51" s="173"/>
      <c r="B51" s="169"/>
      <c r="C51" s="169"/>
      <c r="D51" s="169"/>
      <c r="E51" s="169"/>
      <c r="F51" s="171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</row>
    <row r="52" spans="1:17" ht="24" customHeight="1">
      <c r="A52" s="173"/>
      <c r="B52" s="169"/>
      <c r="C52" s="169"/>
      <c r="D52" s="169"/>
      <c r="E52" s="169"/>
      <c r="F52" s="171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</row>
    <row r="53" spans="1:17" ht="24" customHeight="1">
      <c r="A53" s="173"/>
      <c r="B53" s="169"/>
      <c r="C53" s="169"/>
      <c r="D53" s="169"/>
      <c r="E53" s="169"/>
      <c r="F53" s="171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</row>
    <row r="54" spans="1:17" ht="24" customHeight="1">
      <c r="A54" s="173"/>
      <c r="B54" s="169"/>
      <c r="C54" s="169"/>
      <c r="D54" s="169"/>
      <c r="E54" s="169"/>
      <c r="F54" s="171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</row>
    <row r="55" spans="1:17" ht="24" customHeight="1">
      <c r="A55" s="173"/>
      <c r="B55" s="169"/>
      <c r="C55" s="169"/>
      <c r="D55" s="169"/>
      <c r="E55" s="169"/>
      <c r="F55" s="171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</row>
    <row r="56" spans="1:17" ht="24" customHeight="1">
      <c r="A56" s="173"/>
      <c r="B56" s="169"/>
      <c r="C56" s="169"/>
      <c r="D56" s="169"/>
      <c r="E56" s="169"/>
      <c r="F56" s="171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</row>
    <row r="57" spans="1:17" ht="24" customHeight="1">
      <c r="A57" s="173"/>
      <c r="B57" s="169"/>
      <c r="C57" s="169"/>
      <c r="D57" s="169"/>
      <c r="E57" s="169"/>
      <c r="F57" s="171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</row>
    <row r="58" spans="1:17" ht="21.75" customHeight="1">
      <c r="A58" s="173"/>
      <c r="B58" s="169"/>
      <c r="C58" s="169"/>
      <c r="D58" s="169"/>
      <c r="E58" s="169"/>
      <c r="F58" s="171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</row>
    <row r="59" spans="1:17" ht="21.75" customHeight="1">
      <c r="A59" s="173"/>
      <c r="B59" s="169"/>
      <c r="C59" s="169"/>
      <c r="D59" s="169"/>
      <c r="E59" s="169"/>
      <c r="F59" s="171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</row>
    <row r="60" spans="1:17" ht="21.75" customHeight="1">
      <c r="A60" s="173"/>
      <c r="B60" s="169"/>
      <c r="C60" s="169"/>
      <c r="D60" s="169"/>
      <c r="E60" s="169"/>
      <c r="F60" s="171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</row>
    <row r="61" spans="1:17" ht="21.75" customHeight="1">
      <c r="A61" s="170"/>
      <c r="B61" s="169"/>
      <c r="C61" s="169"/>
      <c r="D61" s="169"/>
      <c r="E61" s="169"/>
      <c r="F61" s="171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</row>
    <row r="62" spans="1:17" ht="21.75" customHeight="1">
      <c r="A62" s="172"/>
      <c r="B62" s="169"/>
      <c r="C62" s="169"/>
      <c r="D62" s="169"/>
      <c r="E62" s="169"/>
      <c r="F62" s="171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</row>
    <row r="63" spans="1:17" ht="21.75" customHeight="1">
      <c r="A63" s="173"/>
      <c r="B63" s="169"/>
      <c r="C63" s="169"/>
      <c r="D63" s="169"/>
      <c r="E63" s="169"/>
      <c r="F63" s="171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</row>
    <row r="64" spans="1:17" ht="21.75" customHeight="1">
      <c r="A64" s="170"/>
      <c r="B64" s="169"/>
      <c r="C64" s="169"/>
      <c r="D64" s="169"/>
      <c r="E64" s="169"/>
      <c r="F64" s="171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</row>
    <row r="65" spans="1:17" ht="21.75" customHeight="1">
      <c r="A65" s="172"/>
      <c r="B65" s="169"/>
      <c r="C65" s="169"/>
      <c r="D65" s="169"/>
      <c r="E65" s="169"/>
      <c r="F65" s="171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</row>
    <row r="66" spans="1:17" ht="21.75" customHeight="1">
      <c r="A66" s="173"/>
      <c r="B66" s="169"/>
      <c r="C66" s="169"/>
      <c r="D66" s="169"/>
      <c r="E66" s="169"/>
      <c r="F66" s="171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</row>
    <row r="67" spans="1:17" ht="21.75" customHeight="1">
      <c r="A67" s="173"/>
      <c r="B67" s="169"/>
      <c r="C67" s="169"/>
      <c r="D67" s="169"/>
      <c r="E67" s="169"/>
      <c r="F67" s="171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</row>
    <row r="68" spans="1:17" ht="21.75" customHeight="1">
      <c r="A68" s="173"/>
      <c r="B68" s="169"/>
      <c r="C68" s="169"/>
      <c r="D68" s="169"/>
      <c r="E68" s="169"/>
      <c r="F68" s="171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</row>
    <row r="69" spans="1:17" ht="21.75" customHeight="1">
      <c r="A69" s="173"/>
      <c r="B69" s="169"/>
      <c r="C69" s="169"/>
      <c r="D69" s="169"/>
      <c r="E69" s="169"/>
      <c r="F69" s="171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</row>
    <row r="70" spans="1:17" ht="21.75" customHeight="1">
      <c r="A70" s="170"/>
      <c r="B70" s="174"/>
      <c r="C70" s="173"/>
      <c r="D70" s="172"/>
      <c r="E70" s="172"/>
      <c r="F70" s="175"/>
      <c r="G70" s="176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1:17" ht="21.75" customHeight="1">
      <c r="A71" s="172"/>
      <c r="B71" s="174"/>
      <c r="C71" s="172"/>
      <c r="D71" s="174"/>
      <c r="E71" s="172"/>
      <c r="F71" s="175"/>
      <c r="G71" s="176"/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1:17" ht="21.75" customHeight="1">
      <c r="A72" s="172"/>
      <c r="B72" s="172"/>
      <c r="C72" s="172"/>
      <c r="D72" s="172"/>
      <c r="E72" s="172"/>
      <c r="F72" s="175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1:17" ht="21.75" customHeight="1">
      <c r="A73" s="172"/>
      <c r="B73" s="172"/>
      <c r="C73" s="172"/>
      <c r="D73" s="172"/>
      <c r="E73" s="172"/>
      <c r="F73" s="175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1:17" ht="21.75" customHeight="1">
      <c r="A74" s="172"/>
      <c r="B74" s="172"/>
      <c r="C74" s="172"/>
      <c r="D74" s="172"/>
      <c r="E74" s="172"/>
      <c r="F74" s="175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1:17" ht="21.75" customHeight="1">
      <c r="A75" s="172"/>
      <c r="B75" s="174"/>
      <c r="C75" s="172"/>
      <c r="D75" s="172"/>
      <c r="E75" s="172"/>
      <c r="F75" s="175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1:17" ht="21.75" customHeight="1">
      <c r="A76" s="172"/>
      <c r="B76" s="174"/>
      <c r="C76" s="172"/>
      <c r="D76" s="172"/>
      <c r="E76" s="172"/>
      <c r="F76" s="175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1:17" ht="21.75" customHeight="1">
      <c r="A77" s="172"/>
      <c r="B77" s="174"/>
      <c r="C77" s="172"/>
      <c r="D77" s="172"/>
      <c r="E77" s="172"/>
      <c r="F77" s="175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1:17" ht="21.75" customHeight="1">
      <c r="A78" s="172"/>
      <c r="B78" s="174"/>
      <c r="C78" s="172"/>
      <c r="D78" s="172"/>
      <c r="E78" s="172"/>
      <c r="F78" s="175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1:17" ht="21.75" customHeight="1">
      <c r="A79" s="172"/>
      <c r="B79" s="174"/>
      <c r="C79" s="172"/>
      <c r="D79" s="172"/>
      <c r="E79" s="172"/>
      <c r="F79" s="175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1:17" ht="21.75" customHeight="1">
      <c r="A80" s="172"/>
      <c r="B80" s="174"/>
      <c r="C80" s="172"/>
      <c r="D80" s="172"/>
      <c r="E80" s="172"/>
      <c r="F80" s="175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1:17" ht="21.75" customHeight="1">
      <c r="A81" s="172"/>
      <c r="B81" s="174"/>
      <c r="C81" s="172"/>
      <c r="D81" s="172"/>
      <c r="E81" s="172"/>
      <c r="F81" s="175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1:17" ht="21.75" customHeight="1">
      <c r="A82" s="172"/>
      <c r="B82" s="174"/>
      <c r="C82" s="172"/>
      <c r="D82" s="172"/>
      <c r="E82" s="172"/>
      <c r="F82" s="175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1:17" ht="21.75" customHeight="1">
      <c r="A83" s="172"/>
      <c r="B83" s="174"/>
      <c r="C83" s="172"/>
      <c r="D83" s="172"/>
      <c r="E83" s="172"/>
      <c r="F83" s="175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1:17" ht="21.75" customHeight="1">
      <c r="A84" s="172"/>
      <c r="B84" s="174"/>
      <c r="C84" s="172"/>
      <c r="D84" s="172"/>
      <c r="E84" s="172"/>
      <c r="F84" s="175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1:17" ht="21.75" customHeight="1">
      <c r="A85" s="172"/>
      <c r="B85" s="174"/>
      <c r="C85" s="172"/>
      <c r="D85" s="172"/>
      <c r="E85" s="172"/>
      <c r="F85" s="175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1:17" ht="21.75" customHeight="1">
      <c r="A86" s="172"/>
      <c r="B86" s="174"/>
      <c r="C86" s="172"/>
      <c r="D86" s="172"/>
      <c r="E86" s="172"/>
      <c r="F86" s="175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1:17" ht="12.75" customHeight="1">
      <c r="A87" s="172"/>
      <c r="B87" s="174"/>
      <c r="C87" s="172"/>
      <c r="D87" s="172"/>
      <c r="E87" s="172"/>
      <c r="F87" s="175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1:17" ht="12.75" customHeight="1">
      <c r="A88" s="172"/>
      <c r="B88" s="174"/>
      <c r="C88" s="172"/>
      <c r="D88" s="172"/>
      <c r="E88" s="172"/>
      <c r="F88" s="175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1:17" ht="12.75" customHeight="1">
      <c r="A89" s="172"/>
      <c r="B89" s="174"/>
      <c r="C89" s="172"/>
      <c r="D89" s="172"/>
      <c r="E89" s="172"/>
      <c r="F89" s="175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1:17" ht="12.75" customHeight="1">
      <c r="A90" s="172"/>
      <c r="B90" s="174"/>
      <c r="C90" s="172"/>
      <c r="D90" s="172"/>
      <c r="E90" s="172"/>
      <c r="F90" s="175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1:17" ht="12.75" customHeight="1">
      <c r="A91" s="172"/>
      <c r="B91" s="174"/>
      <c r="C91" s="172"/>
      <c r="D91" s="172"/>
      <c r="E91" s="172"/>
      <c r="F91" s="175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1:17" ht="12.75" customHeight="1">
      <c r="A92" s="172"/>
      <c r="B92" s="174"/>
      <c r="C92" s="172"/>
      <c r="D92" s="172"/>
      <c r="E92" s="172"/>
      <c r="F92" s="175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1:17" ht="12.75" customHeight="1">
      <c r="A93" s="172"/>
      <c r="B93" s="174"/>
      <c r="C93" s="172"/>
      <c r="D93" s="172"/>
      <c r="E93" s="172"/>
      <c r="F93" s="175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1:17" ht="12.75" customHeight="1">
      <c r="A94" s="172"/>
      <c r="B94" s="174"/>
      <c r="C94" s="172"/>
      <c r="D94" s="172"/>
      <c r="E94" s="172"/>
      <c r="F94" s="175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1:17" ht="12.75" customHeight="1">
      <c r="A95" s="172"/>
      <c r="B95" s="174"/>
      <c r="C95" s="172"/>
      <c r="D95" s="172"/>
      <c r="E95" s="172"/>
      <c r="F95" s="175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</sheetData>
  <sheetProtection/>
  <mergeCells count="11">
    <mergeCell ref="O28:O29"/>
    <mergeCell ref="M1:M2"/>
    <mergeCell ref="N1:N2"/>
    <mergeCell ref="O1:Q1"/>
    <mergeCell ref="O18:O21"/>
    <mergeCell ref="O4:O5"/>
    <mergeCell ref="A1:A2"/>
    <mergeCell ref="B1:E1"/>
    <mergeCell ref="F1:I1"/>
    <mergeCell ref="J1:K1"/>
    <mergeCell ref="L1:L2"/>
  </mergeCells>
  <printOptions/>
  <pageMargins left="0.7086614173228347" right="0.7086614173228347" top="0.9055118110236221" bottom="0.4724409448818898" header="0.5511811023622047" footer="0.31496062992125984"/>
  <pageSetup firstPageNumber="44" useFirstPageNumber="1" fitToHeight="2" fitToWidth="1" horizontalDpi="600" verticalDpi="600" orientation="portrait" paperSize="9" scale="75" r:id="rId1"/>
  <headerFooter scaleWithDoc="0" alignWithMargins="0">
    <oddHeader>&amp;L&amp;"ＭＳ Ｐゴシック,太字"22　県内公共図書館</oddHeader>
    <oddFooter xml:space="preserve">&amp;C&amp;12&amp;P </oddFooter>
  </headerFooter>
  <rowBreaks count="1" manualBreakCount="1">
    <brk id="3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view="pageBreakPreview" zoomScaleSheetLayoutView="100" zoomScalePageLayoutView="0" workbookViewId="0" topLeftCell="C1">
      <pane xSplit="3" ySplit="3" topLeftCell="F4" activePane="bottomRight" state="frozen"/>
      <selection pane="topLeft" activeCell="N6" sqref="N6"/>
      <selection pane="topRight" activeCell="N6" sqref="N6"/>
      <selection pane="bottomLeft" activeCell="N6" sqref="N6"/>
      <selection pane="bottomRight" activeCell="N6" sqref="N6"/>
    </sheetView>
  </sheetViews>
  <sheetFormatPr defaultColWidth="9.00390625" defaultRowHeight="12.75" customHeight="1"/>
  <cols>
    <col min="1" max="1" width="2.625" style="51" hidden="1" customWidth="1"/>
    <col min="2" max="2" width="2.25390625" style="51" hidden="1" customWidth="1"/>
    <col min="3" max="3" width="3.50390625" style="51" customWidth="1"/>
    <col min="4" max="4" width="4.125" style="51" customWidth="1"/>
    <col min="5" max="5" width="8.75390625" style="51" customWidth="1"/>
    <col min="6" max="7" width="13.125" style="51" customWidth="1"/>
    <col min="8" max="13" width="11.875" style="51" customWidth="1"/>
    <col min="14" max="23" width="10.375" style="51" customWidth="1"/>
    <col min="24" max="24" width="0.875" style="51" customWidth="1"/>
    <col min="25" max="16384" width="9.00390625" style="51" customWidth="1"/>
  </cols>
  <sheetData>
    <row r="1" spans="2:25" ht="30" customHeight="1">
      <c r="B1" s="2"/>
      <c r="C1" s="1300" t="s">
        <v>15</v>
      </c>
      <c r="D1" s="1301"/>
      <c r="E1" s="1301"/>
      <c r="F1" s="149" t="s">
        <v>47</v>
      </c>
      <c r="G1" s="149" t="s">
        <v>47</v>
      </c>
      <c r="H1" s="1291" t="s">
        <v>3</v>
      </c>
      <c r="I1" s="1291"/>
      <c r="J1" s="1291" t="s">
        <v>28</v>
      </c>
      <c r="K1" s="1291"/>
      <c r="L1" s="1299" t="s">
        <v>29</v>
      </c>
      <c r="M1" s="1299"/>
      <c r="N1" s="1299" t="s">
        <v>30</v>
      </c>
      <c r="O1" s="1299"/>
      <c r="P1" s="1290" t="s">
        <v>56</v>
      </c>
      <c r="Q1" s="1291"/>
      <c r="R1" s="1290" t="s">
        <v>57</v>
      </c>
      <c r="S1" s="1291"/>
      <c r="T1" s="1290" t="s">
        <v>522</v>
      </c>
      <c r="U1" s="1291"/>
      <c r="V1" s="1290" t="s">
        <v>11</v>
      </c>
      <c r="W1" s="1298"/>
      <c r="X1" s="4"/>
      <c r="Y1" s="1126"/>
    </row>
    <row r="2" spans="2:25" ht="30" customHeight="1" thickBot="1">
      <c r="B2" s="2"/>
      <c r="C2" s="1302"/>
      <c r="D2" s="1303"/>
      <c r="E2" s="1303"/>
      <c r="F2" s="49" t="s">
        <v>802</v>
      </c>
      <c r="G2" s="49" t="s">
        <v>880</v>
      </c>
      <c r="H2" s="227" t="s">
        <v>803</v>
      </c>
      <c r="I2" s="227" t="s">
        <v>816</v>
      </c>
      <c r="J2" s="227" t="str">
        <f aca="true" t="shared" si="0" ref="J2:S2">H2</f>
        <v>28年度</v>
      </c>
      <c r="K2" s="227" t="str">
        <f t="shared" si="0"/>
        <v>29年度</v>
      </c>
      <c r="L2" s="227" t="str">
        <f t="shared" si="0"/>
        <v>28年度</v>
      </c>
      <c r="M2" s="227" t="str">
        <f t="shared" si="0"/>
        <v>29年度</v>
      </c>
      <c r="N2" s="227" t="str">
        <f t="shared" si="0"/>
        <v>28年度</v>
      </c>
      <c r="O2" s="227" t="str">
        <f t="shared" si="0"/>
        <v>29年度</v>
      </c>
      <c r="P2" s="227" t="str">
        <f>N2</f>
        <v>28年度</v>
      </c>
      <c r="Q2" s="227" t="str">
        <f>O2</f>
        <v>29年度</v>
      </c>
      <c r="R2" s="227" t="str">
        <f t="shared" si="0"/>
        <v>28年度</v>
      </c>
      <c r="S2" s="227" t="str">
        <f t="shared" si="0"/>
        <v>29年度</v>
      </c>
      <c r="T2" s="227" t="str">
        <f>R2</f>
        <v>28年度</v>
      </c>
      <c r="U2" s="227" t="str">
        <f>S2</f>
        <v>29年度</v>
      </c>
      <c r="V2" s="227" t="str">
        <f>R2</f>
        <v>28年度</v>
      </c>
      <c r="W2" s="228" t="str">
        <f>S2</f>
        <v>29年度</v>
      </c>
      <c r="X2" s="4"/>
      <c r="Y2" s="1126"/>
    </row>
    <row r="3" spans="2:25" s="6" customFormat="1" ht="30" customHeight="1" thickBot="1">
      <c r="B3" s="7"/>
      <c r="C3" s="1304" t="s">
        <v>5</v>
      </c>
      <c r="D3" s="1305"/>
      <c r="E3" s="1305"/>
      <c r="F3" s="152">
        <f>F9+F16+F26</f>
        <v>1377724</v>
      </c>
      <c r="G3" s="152">
        <f aca="true" t="shared" si="1" ref="G3:O3">G9+G16+G26</f>
        <v>1366771</v>
      </c>
      <c r="H3" s="152">
        <f>H9+H16+H26</f>
        <v>673135897</v>
      </c>
      <c r="I3" s="152">
        <f t="shared" si="1"/>
        <v>658880262</v>
      </c>
      <c r="J3" s="152">
        <f>J9+J16+J26</f>
        <v>63124819</v>
      </c>
      <c r="K3" s="152">
        <f t="shared" si="1"/>
        <v>62505269</v>
      </c>
      <c r="L3" s="152">
        <f>L9+L16+L26</f>
        <v>16117771</v>
      </c>
      <c r="M3" s="152">
        <f t="shared" si="1"/>
        <v>15258477</v>
      </c>
      <c r="N3" s="152">
        <f>N9+N16+N26</f>
        <v>11385482</v>
      </c>
      <c r="O3" s="152">
        <f t="shared" si="1"/>
        <v>11303999</v>
      </c>
      <c r="P3" s="229">
        <f aca="true" t="shared" si="2" ref="P3:P26">ROUND(L3/H3*100,1)</f>
        <v>2.4</v>
      </c>
      <c r="Q3" s="229">
        <f aca="true" t="shared" si="3" ref="Q3:Q26">ROUND(M3/I3*100,1)</f>
        <v>2.3</v>
      </c>
      <c r="R3" s="229">
        <f aca="true" t="shared" si="4" ref="R3:R26">ROUND(L3/J3*100,1)</f>
        <v>25.5</v>
      </c>
      <c r="S3" s="229">
        <f aca="true" t="shared" si="5" ref="S3:S26">ROUND(M3/K3*100,1)</f>
        <v>24.4</v>
      </c>
      <c r="T3" s="230">
        <f>L3/F3*1000</f>
        <v>11698.838809514824</v>
      </c>
      <c r="U3" s="230">
        <f>M3/G3*1000</f>
        <v>11163.887000821644</v>
      </c>
      <c r="V3" s="152">
        <f>N3/F3*1000</f>
        <v>8263.978852077775</v>
      </c>
      <c r="W3" s="231">
        <f>O3/G3*1000</f>
        <v>8270.587391743022</v>
      </c>
      <c r="X3" s="8"/>
      <c r="Y3" s="9"/>
    </row>
    <row r="4" spans="1:25" ht="30" customHeight="1">
      <c r="A4" s="51">
        <v>1</v>
      </c>
      <c r="B4" s="150"/>
      <c r="C4" s="1293" t="s">
        <v>7</v>
      </c>
      <c r="D4" s="1292" t="s">
        <v>18</v>
      </c>
      <c r="E4" s="1292"/>
      <c r="F4" s="510">
        <v>119224</v>
      </c>
      <c r="G4" s="510">
        <v>118580</v>
      </c>
      <c r="H4" s="510">
        <v>49741499</v>
      </c>
      <c r="I4" s="510">
        <v>51341830</v>
      </c>
      <c r="J4" s="510">
        <v>4733507</v>
      </c>
      <c r="K4" s="510">
        <v>4535694</v>
      </c>
      <c r="L4" s="510">
        <v>874922</v>
      </c>
      <c r="M4" s="510">
        <v>873827</v>
      </c>
      <c r="N4" s="510">
        <v>722651</v>
      </c>
      <c r="O4" s="510">
        <v>663534</v>
      </c>
      <c r="P4" s="511">
        <f aca="true" t="shared" si="6" ref="P4:Q8">ROUND(L4/H4*100,1)</f>
        <v>1.8</v>
      </c>
      <c r="Q4" s="511">
        <f t="shared" si="6"/>
        <v>1.7</v>
      </c>
      <c r="R4" s="511">
        <f t="shared" si="4"/>
        <v>18.5</v>
      </c>
      <c r="S4" s="511">
        <f t="shared" si="5"/>
        <v>19.3</v>
      </c>
      <c r="T4" s="512">
        <f aca="true" t="shared" si="7" ref="T4:T26">L4/F4*1000</f>
        <v>7338.472119707441</v>
      </c>
      <c r="U4" s="512">
        <f aca="true" t="shared" si="8" ref="U4:U26">M4/G4*1000</f>
        <v>7369.0925957159725</v>
      </c>
      <c r="V4" s="513">
        <f aca="true" t="shared" si="9" ref="V4:V26">N4/F4*1000</f>
        <v>6061.287995705563</v>
      </c>
      <c r="W4" s="514">
        <f aca="true" t="shared" si="10" ref="W4:W26">O4/G4*1000</f>
        <v>5595.6653735874515</v>
      </c>
      <c r="X4" s="4"/>
      <c r="Y4" s="1126"/>
    </row>
    <row r="5" spans="1:25" ht="30" customHeight="1">
      <c r="A5" s="51">
        <v>2</v>
      </c>
      <c r="B5" s="10"/>
      <c r="C5" s="1294"/>
      <c r="D5" s="1287" t="s">
        <v>19</v>
      </c>
      <c r="E5" s="1287"/>
      <c r="F5" s="442">
        <v>107730</v>
      </c>
      <c r="G5" s="442">
        <v>107059</v>
      </c>
      <c r="H5" s="442">
        <v>54468449</v>
      </c>
      <c r="I5" s="442">
        <v>49306063</v>
      </c>
      <c r="J5" s="442">
        <v>6216238</v>
      </c>
      <c r="K5" s="442">
        <v>4791748</v>
      </c>
      <c r="L5" s="442">
        <v>1183083</v>
      </c>
      <c r="M5" s="442">
        <v>1311036</v>
      </c>
      <c r="N5" s="442">
        <v>1059403</v>
      </c>
      <c r="O5" s="442">
        <v>1039898</v>
      </c>
      <c r="P5" s="232">
        <f t="shared" si="6"/>
        <v>2.2</v>
      </c>
      <c r="Q5" s="232">
        <f t="shared" si="6"/>
        <v>2.7</v>
      </c>
      <c r="R5" s="232">
        <f t="shared" si="4"/>
        <v>19</v>
      </c>
      <c r="S5" s="232">
        <f t="shared" si="5"/>
        <v>27.4</v>
      </c>
      <c r="T5" s="233">
        <f t="shared" si="7"/>
        <v>10981.927039821776</v>
      </c>
      <c r="U5" s="233">
        <f t="shared" si="8"/>
        <v>12245.920473757462</v>
      </c>
      <c r="V5" s="148">
        <f t="shared" si="9"/>
        <v>9833.871716327856</v>
      </c>
      <c r="W5" s="234">
        <f t="shared" si="10"/>
        <v>9713.31695607095</v>
      </c>
      <c r="X5" s="4"/>
      <c r="Y5" s="1126"/>
    </row>
    <row r="6" spans="1:25" ht="30" customHeight="1">
      <c r="A6" s="51">
        <v>3</v>
      </c>
      <c r="B6" s="10"/>
      <c r="C6" s="1294"/>
      <c r="D6" s="1287" t="s">
        <v>39</v>
      </c>
      <c r="E6" s="1287"/>
      <c r="F6" s="442">
        <v>86849</v>
      </c>
      <c r="G6" s="442">
        <v>86087</v>
      </c>
      <c r="H6" s="442">
        <v>44391240</v>
      </c>
      <c r="I6" s="442">
        <v>38829000</v>
      </c>
      <c r="J6" s="442">
        <v>4701801</v>
      </c>
      <c r="K6" s="442">
        <v>4776478</v>
      </c>
      <c r="L6" s="442">
        <v>1282325</v>
      </c>
      <c r="M6" s="442">
        <v>1465468</v>
      </c>
      <c r="N6" s="442">
        <v>667804</v>
      </c>
      <c r="O6" s="442">
        <v>729647</v>
      </c>
      <c r="P6" s="232">
        <f t="shared" si="6"/>
        <v>2.9</v>
      </c>
      <c r="Q6" s="232">
        <f t="shared" si="6"/>
        <v>3.8</v>
      </c>
      <c r="R6" s="232">
        <f t="shared" si="4"/>
        <v>27.3</v>
      </c>
      <c r="S6" s="232">
        <f t="shared" si="5"/>
        <v>30.7</v>
      </c>
      <c r="T6" s="233">
        <f t="shared" si="7"/>
        <v>14764.994415594883</v>
      </c>
      <c r="U6" s="233">
        <f t="shared" si="8"/>
        <v>17023.104533785587</v>
      </c>
      <c r="V6" s="148">
        <f t="shared" si="9"/>
        <v>7689.253762277056</v>
      </c>
      <c r="W6" s="234">
        <f t="shared" si="10"/>
        <v>8475.693194094345</v>
      </c>
      <c r="X6" s="4"/>
      <c r="Y6" s="1126"/>
    </row>
    <row r="7" spans="1:25" ht="30" customHeight="1">
      <c r="A7" s="51">
        <v>4</v>
      </c>
      <c r="B7" s="10"/>
      <c r="C7" s="1294"/>
      <c r="D7" s="1287" t="s">
        <v>21</v>
      </c>
      <c r="E7" s="1287"/>
      <c r="F7" s="442">
        <v>157422</v>
      </c>
      <c r="G7" s="442">
        <v>155860</v>
      </c>
      <c r="H7" s="442">
        <v>84474834</v>
      </c>
      <c r="I7" s="442">
        <v>87503403</v>
      </c>
      <c r="J7" s="442">
        <v>5524015</v>
      </c>
      <c r="K7" s="442">
        <v>5325635</v>
      </c>
      <c r="L7" s="442">
        <v>1767689</v>
      </c>
      <c r="M7" s="442">
        <v>1683317</v>
      </c>
      <c r="N7" s="442">
        <v>1470156</v>
      </c>
      <c r="O7" s="442">
        <v>1585517</v>
      </c>
      <c r="P7" s="232">
        <f t="shared" si="6"/>
        <v>2.1</v>
      </c>
      <c r="Q7" s="232">
        <f t="shared" si="6"/>
        <v>1.9</v>
      </c>
      <c r="R7" s="232">
        <f t="shared" si="4"/>
        <v>32</v>
      </c>
      <c r="S7" s="232">
        <f t="shared" si="5"/>
        <v>31.6</v>
      </c>
      <c r="T7" s="233">
        <f t="shared" si="7"/>
        <v>11228.983242494696</v>
      </c>
      <c r="U7" s="233">
        <f t="shared" si="8"/>
        <v>10800.186064416785</v>
      </c>
      <c r="V7" s="148">
        <f t="shared" si="9"/>
        <v>9338.948812745359</v>
      </c>
      <c r="W7" s="234">
        <f t="shared" si="10"/>
        <v>10172.699858847684</v>
      </c>
      <c r="X7" s="4"/>
      <c r="Y7" s="1126"/>
    </row>
    <row r="8" spans="1:25" ht="30" customHeight="1" thickBot="1">
      <c r="A8" s="51">
        <v>5</v>
      </c>
      <c r="B8" s="10"/>
      <c r="C8" s="1294"/>
      <c r="D8" s="1288" t="s">
        <v>40</v>
      </c>
      <c r="E8" s="1288"/>
      <c r="F8" s="898">
        <v>7085</v>
      </c>
      <c r="G8" s="898">
        <v>6971</v>
      </c>
      <c r="H8" s="898">
        <v>6832000</v>
      </c>
      <c r="I8" s="898">
        <v>6549500</v>
      </c>
      <c r="J8" s="898">
        <v>419991</v>
      </c>
      <c r="K8" s="898">
        <v>370859</v>
      </c>
      <c r="L8" s="898">
        <v>87295</v>
      </c>
      <c r="M8" s="898">
        <v>52227</v>
      </c>
      <c r="N8" s="898">
        <v>33302</v>
      </c>
      <c r="O8" s="898">
        <v>36611</v>
      </c>
      <c r="P8" s="899">
        <f t="shared" si="6"/>
        <v>1.3</v>
      </c>
      <c r="Q8" s="899">
        <f t="shared" si="6"/>
        <v>0.8</v>
      </c>
      <c r="R8" s="899">
        <f t="shared" si="4"/>
        <v>20.8</v>
      </c>
      <c r="S8" s="899">
        <f t="shared" si="5"/>
        <v>14.1</v>
      </c>
      <c r="T8" s="900">
        <f t="shared" si="7"/>
        <v>12321.100917431191</v>
      </c>
      <c r="U8" s="900">
        <f t="shared" si="8"/>
        <v>7492.038444986372</v>
      </c>
      <c r="V8" s="898">
        <f t="shared" si="9"/>
        <v>4700.352858151024</v>
      </c>
      <c r="W8" s="901">
        <f t="shared" si="10"/>
        <v>5251.900731602353</v>
      </c>
      <c r="X8" s="4"/>
      <c r="Y8" s="1126"/>
    </row>
    <row r="9" spans="2:25" ht="30" customHeight="1" thickBot="1" thickTop="1">
      <c r="B9" s="151"/>
      <c r="C9" s="1295"/>
      <c r="D9" s="1289" t="s">
        <v>20</v>
      </c>
      <c r="E9" s="1289"/>
      <c r="F9" s="894">
        <f>SUM(F4:F8)</f>
        <v>478310</v>
      </c>
      <c r="G9" s="894">
        <f aca="true" t="shared" si="11" ref="G9:O9">SUM(G4:G8)</f>
        <v>474557</v>
      </c>
      <c r="H9" s="894">
        <f>SUM(H4:H8)</f>
        <v>239908022</v>
      </c>
      <c r="I9" s="894">
        <f>SUM(I4:I8)</f>
        <v>233529796</v>
      </c>
      <c r="J9" s="894">
        <f>SUM(J4:J8)</f>
        <v>21595552</v>
      </c>
      <c r="K9" s="894">
        <f t="shared" si="11"/>
        <v>19800414</v>
      </c>
      <c r="L9" s="894">
        <f>SUM(L4:L8)</f>
        <v>5195314</v>
      </c>
      <c r="M9" s="894">
        <f t="shared" si="11"/>
        <v>5385875</v>
      </c>
      <c r="N9" s="894">
        <f>SUM(N4:N8)</f>
        <v>3953316</v>
      </c>
      <c r="O9" s="894">
        <f t="shared" si="11"/>
        <v>4055207</v>
      </c>
      <c r="P9" s="895">
        <f t="shared" si="2"/>
        <v>2.2</v>
      </c>
      <c r="Q9" s="895">
        <f t="shared" si="3"/>
        <v>2.3</v>
      </c>
      <c r="R9" s="895">
        <f t="shared" si="4"/>
        <v>24.1</v>
      </c>
      <c r="S9" s="895">
        <f t="shared" si="5"/>
        <v>27.2</v>
      </c>
      <c r="T9" s="896">
        <f t="shared" si="7"/>
        <v>10861.813468252807</v>
      </c>
      <c r="U9" s="896">
        <f t="shared" si="8"/>
        <v>11349.268897097714</v>
      </c>
      <c r="V9" s="894">
        <f t="shared" si="9"/>
        <v>8265.175304718698</v>
      </c>
      <c r="W9" s="897">
        <f t="shared" si="10"/>
        <v>8545.24746237017</v>
      </c>
      <c r="X9" s="4"/>
      <c r="Y9" s="1126"/>
    </row>
    <row r="10" spans="1:25" ht="30" customHeight="1">
      <c r="A10" s="51">
        <v>6</v>
      </c>
      <c r="B10" s="2"/>
      <c r="C10" s="1293" t="s">
        <v>9</v>
      </c>
      <c r="D10" s="1292" t="s">
        <v>22</v>
      </c>
      <c r="E10" s="1292"/>
      <c r="F10" s="510">
        <v>514018</v>
      </c>
      <c r="G10" s="510">
        <v>512780</v>
      </c>
      <c r="H10" s="510">
        <v>196477036</v>
      </c>
      <c r="I10" s="510">
        <v>193184747</v>
      </c>
      <c r="J10" s="510">
        <v>15456282</v>
      </c>
      <c r="K10" s="510">
        <v>17706555</v>
      </c>
      <c r="L10" s="510">
        <v>2916564</v>
      </c>
      <c r="M10" s="510">
        <v>2383545</v>
      </c>
      <c r="N10" s="510">
        <v>2162488</v>
      </c>
      <c r="O10" s="510">
        <v>2008480</v>
      </c>
      <c r="P10" s="511">
        <f t="shared" si="2"/>
        <v>1.5</v>
      </c>
      <c r="Q10" s="511">
        <f t="shared" si="3"/>
        <v>1.2</v>
      </c>
      <c r="R10" s="511">
        <f t="shared" si="4"/>
        <v>18.9</v>
      </c>
      <c r="S10" s="511">
        <f t="shared" si="5"/>
        <v>13.5</v>
      </c>
      <c r="T10" s="512">
        <f t="shared" si="7"/>
        <v>5674.050325085892</v>
      </c>
      <c r="U10" s="512">
        <f t="shared" si="8"/>
        <v>4648.279964117165</v>
      </c>
      <c r="V10" s="513">
        <f t="shared" si="9"/>
        <v>4207.027769455544</v>
      </c>
      <c r="W10" s="514">
        <f t="shared" si="10"/>
        <v>3916.8454307890324</v>
      </c>
      <c r="X10" s="4"/>
      <c r="Y10" s="1126"/>
    </row>
    <row r="11" spans="1:25" ht="30" customHeight="1">
      <c r="A11" s="51">
        <v>7</v>
      </c>
      <c r="B11" s="2"/>
      <c r="C11" s="1296"/>
      <c r="D11" s="1287" t="s">
        <v>23</v>
      </c>
      <c r="E11" s="1287"/>
      <c r="F11" s="442">
        <v>36519</v>
      </c>
      <c r="G11" s="442">
        <v>36195</v>
      </c>
      <c r="H11" s="442">
        <v>19513622</v>
      </c>
      <c r="I11" s="442">
        <v>17900262</v>
      </c>
      <c r="J11" s="442">
        <v>2432509</v>
      </c>
      <c r="K11" s="442">
        <v>2643164</v>
      </c>
      <c r="L11" s="442">
        <v>1122575</v>
      </c>
      <c r="M11" s="442">
        <v>1451152</v>
      </c>
      <c r="N11" s="442">
        <v>214796</v>
      </c>
      <c r="O11" s="442">
        <v>191166</v>
      </c>
      <c r="P11" s="232">
        <f t="shared" si="2"/>
        <v>5.8</v>
      </c>
      <c r="Q11" s="232">
        <f t="shared" si="3"/>
        <v>8.1</v>
      </c>
      <c r="R11" s="232">
        <f t="shared" si="4"/>
        <v>46.1</v>
      </c>
      <c r="S11" s="232">
        <f t="shared" si="5"/>
        <v>54.9</v>
      </c>
      <c r="T11" s="233">
        <f t="shared" si="7"/>
        <v>30739.478079903613</v>
      </c>
      <c r="U11" s="233">
        <f t="shared" si="8"/>
        <v>40092.609476447025</v>
      </c>
      <c r="V11" s="148">
        <f t="shared" si="9"/>
        <v>5881.760179632521</v>
      </c>
      <c r="W11" s="234">
        <f t="shared" si="10"/>
        <v>5281.558226274347</v>
      </c>
      <c r="X11" s="4"/>
      <c r="Y11" s="1126"/>
    </row>
    <row r="12" spans="1:25" ht="30" customHeight="1">
      <c r="A12" s="51">
        <v>8</v>
      </c>
      <c r="B12" s="2"/>
      <c r="C12" s="1296"/>
      <c r="D12" s="1287" t="s">
        <v>41</v>
      </c>
      <c r="E12" s="1287"/>
      <c r="F12" s="442">
        <v>34571</v>
      </c>
      <c r="G12" s="442">
        <v>34320</v>
      </c>
      <c r="H12" s="442">
        <v>14757040</v>
      </c>
      <c r="I12" s="442">
        <v>14867937</v>
      </c>
      <c r="J12" s="442">
        <v>1485244</v>
      </c>
      <c r="K12" s="442">
        <v>1692843</v>
      </c>
      <c r="L12" s="442">
        <v>240784</v>
      </c>
      <c r="M12" s="442">
        <v>212843</v>
      </c>
      <c r="N12" s="442">
        <v>208096</v>
      </c>
      <c r="O12" s="442">
        <v>208456</v>
      </c>
      <c r="P12" s="232">
        <f t="shared" si="2"/>
        <v>1.6</v>
      </c>
      <c r="Q12" s="232">
        <f t="shared" si="3"/>
        <v>1.4</v>
      </c>
      <c r="R12" s="232">
        <f t="shared" si="4"/>
        <v>16.2</v>
      </c>
      <c r="S12" s="232">
        <f t="shared" si="5"/>
        <v>12.6</v>
      </c>
      <c r="T12" s="233">
        <f t="shared" si="7"/>
        <v>6964.91278817506</v>
      </c>
      <c r="U12" s="233">
        <f t="shared" si="8"/>
        <v>6201.719114219114</v>
      </c>
      <c r="V12" s="148">
        <f t="shared" si="9"/>
        <v>6019.380405542218</v>
      </c>
      <c r="W12" s="234">
        <f t="shared" si="10"/>
        <v>6073.892773892774</v>
      </c>
      <c r="X12" s="4"/>
      <c r="Y12" s="1126"/>
    </row>
    <row r="13" spans="1:25" ht="30" customHeight="1">
      <c r="A13" s="51">
        <v>9</v>
      </c>
      <c r="B13" s="2"/>
      <c r="C13" s="1296"/>
      <c r="D13" s="1287" t="s">
        <v>42</v>
      </c>
      <c r="E13" s="1287"/>
      <c r="F13" s="148">
        <v>8301</v>
      </c>
      <c r="G13" s="148">
        <v>8024</v>
      </c>
      <c r="H13" s="148">
        <v>8659322</v>
      </c>
      <c r="I13" s="148">
        <v>10798685</v>
      </c>
      <c r="J13" s="148">
        <v>852479</v>
      </c>
      <c r="K13" s="148">
        <v>1330228</v>
      </c>
      <c r="L13" s="148">
        <v>250965</v>
      </c>
      <c r="M13" s="148">
        <v>284027</v>
      </c>
      <c r="N13" s="148">
        <v>242124</v>
      </c>
      <c r="O13" s="148">
        <v>278877</v>
      </c>
      <c r="P13" s="232">
        <f t="shared" si="2"/>
        <v>2.9</v>
      </c>
      <c r="Q13" s="232">
        <f t="shared" si="3"/>
        <v>2.6</v>
      </c>
      <c r="R13" s="232">
        <f t="shared" si="4"/>
        <v>29.4</v>
      </c>
      <c r="S13" s="232">
        <f t="shared" si="5"/>
        <v>21.4</v>
      </c>
      <c r="T13" s="233">
        <f t="shared" si="7"/>
        <v>30233.104445247558</v>
      </c>
      <c r="U13" s="233">
        <f t="shared" si="8"/>
        <v>35397.18344965104</v>
      </c>
      <c r="V13" s="148">
        <f t="shared" si="9"/>
        <v>29168.05204192266</v>
      </c>
      <c r="W13" s="234">
        <f t="shared" si="10"/>
        <v>34755.35892323031</v>
      </c>
      <c r="X13" s="4"/>
      <c r="Y13" s="1126"/>
    </row>
    <row r="14" spans="1:25" ht="30" customHeight="1">
      <c r="A14" s="51">
        <v>10</v>
      </c>
      <c r="B14" s="2"/>
      <c r="C14" s="1296"/>
      <c r="D14" s="1287" t="s">
        <v>51</v>
      </c>
      <c r="E14" s="1287" t="s">
        <v>24</v>
      </c>
      <c r="F14" s="442">
        <v>30087</v>
      </c>
      <c r="G14" s="442">
        <v>29950</v>
      </c>
      <c r="H14" s="442">
        <v>10607188</v>
      </c>
      <c r="I14" s="442">
        <v>10532310</v>
      </c>
      <c r="J14" s="442">
        <v>878171</v>
      </c>
      <c r="K14" s="442">
        <v>927480</v>
      </c>
      <c r="L14" s="442">
        <v>221831</v>
      </c>
      <c r="M14" s="442">
        <v>208560</v>
      </c>
      <c r="N14" s="442">
        <v>197727</v>
      </c>
      <c r="O14" s="442">
        <v>197882</v>
      </c>
      <c r="P14" s="232">
        <f t="shared" si="2"/>
        <v>2.1</v>
      </c>
      <c r="Q14" s="232">
        <f t="shared" si="3"/>
        <v>2</v>
      </c>
      <c r="R14" s="232">
        <f t="shared" si="4"/>
        <v>25.3</v>
      </c>
      <c r="S14" s="232">
        <f t="shared" si="5"/>
        <v>22.5</v>
      </c>
      <c r="T14" s="233">
        <f t="shared" si="7"/>
        <v>7372.985010137269</v>
      </c>
      <c r="U14" s="233">
        <f t="shared" si="8"/>
        <v>6963.606010016694</v>
      </c>
      <c r="V14" s="148">
        <f t="shared" si="9"/>
        <v>6571.841659188353</v>
      </c>
      <c r="W14" s="234">
        <f t="shared" si="10"/>
        <v>6607.078464106845</v>
      </c>
      <c r="X14" s="4"/>
      <c r="Y14" s="1126"/>
    </row>
    <row r="15" spans="1:25" ht="30" customHeight="1" thickBot="1">
      <c r="A15" s="51">
        <v>11</v>
      </c>
      <c r="B15" s="2"/>
      <c r="C15" s="1296"/>
      <c r="D15" s="1288" t="s">
        <v>52</v>
      </c>
      <c r="E15" s="1288" t="s">
        <v>24</v>
      </c>
      <c r="F15" s="902">
        <v>21147</v>
      </c>
      <c r="G15" s="902">
        <v>21067</v>
      </c>
      <c r="H15" s="902">
        <v>9340862</v>
      </c>
      <c r="I15" s="902">
        <v>8096670</v>
      </c>
      <c r="J15" s="902">
        <v>2466269</v>
      </c>
      <c r="K15" s="902">
        <v>1136391</v>
      </c>
      <c r="L15" s="902">
        <v>296072</v>
      </c>
      <c r="M15" s="902">
        <v>287333</v>
      </c>
      <c r="N15" s="902">
        <v>278456</v>
      </c>
      <c r="O15" s="902">
        <v>162446</v>
      </c>
      <c r="P15" s="899">
        <f t="shared" si="2"/>
        <v>3.2</v>
      </c>
      <c r="Q15" s="899">
        <f t="shared" si="3"/>
        <v>3.5</v>
      </c>
      <c r="R15" s="899">
        <f t="shared" si="4"/>
        <v>12</v>
      </c>
      <c r="S15" s="899">
        <f t="shared" si="5"/>
        <v>25.3</v>
      </c>
      <c r="T15" s="900">
        <f t="shared" si="7"/>
        <v>14000.662032439588</v>
      </c>
      <c r="U15" s="900">
        <f t="shared" si="8"/>
        <v>13639.008876441829</v>
      </c>
      <c r="V15" s="898">
        <f t="shared" si="9"/>
        <v>13167.636071310351</v>
      </c>
      <c r="W15" s="901">
        <f t="shared" si="10"/>
        <v>7710.922295533298</v>
      </c>
      <c r="X15" s="4"/>
      <c r="Y15" s="1126"/>
    </row>
    <row r="16" spans="2:25" ht="30" customHeight="1" thickBot="1" thickTop="1">
      <c r="B16" s="2"/>
      <c r="C16" s="1297"/>
      <c r="D16" s="1289" t="s">
        <v>20</v>
      </c>
      <c r="E16" s="1289"/>
      <c r="F16" s="894">
        <f>SUM(F10:F15)</f>
        <v>644643</v>
      </c>
      <c r="G16" s="894">
        <f aca="true" t="shared" si="12" ref="G16:O16">SUM(G10:G15)</f>
        <v>642336</v>
      </c>
      <c r="H16" s="894">
        <f>SUM(H10:H15)</f>
        <v>259355070</v>
      </c>
      <c r="I16" s="894">
        <f t="shared" si="12"/>
        <v>255380611</v>
      </c>
      <c r="J16" s="894">
        <f>SUM(J10:J15)</f>
        <v>23570954</v>
      </c>
      <c r="K16" s="894">
        <f t="shared" si="12"/>
        <v>25436661</v>
      </c>
      <c r="L16" s="894">
        <f>SUM(L10:L15)</f>
        <v>5048791</v>
      </c>
      <c r="M16" s="894">
        <f t="shared" si="12"/>
        <v>4827460</v>
      </c>
      <c r="N16" s="894">
        <f>SUM(N10:N15)</f>
        <v>3303687</v>
      </c>
      <c r="O16" s="894">
        <f t="shared" si="12"/>
        <v>3047307</v>
      </c>
      <c r="P16" s="895">
        <f t="shared" si="2"/>
        <v>1.9</v>
      </c>
      <c r="Q16" s="895">
        <f t="shared" si="3"/>
        <v>1.9</v>
      </c>
      <c r="R16" s="895">
        <f t="shared" si="4"/>
        <v>21.4</v>
      </c>
      <c r="S16" s="895">
        <f t="shared" si="5"/>
        <v>19</v>
      </c>
      <c r="T16" s="896">
        <f t="shared" si="7"/>
        <v>7831.917821181646</v>
      </c>
      <c r="U16" s="896">
        <f t="shared" si="8"/>
        <v>7515.474767100085</v>
      </c>
      <c r="V16" s="894">
        <f t="shared" si="9"/>
        <v>5124.831883693766</v>
      </c>
      <c r="W16" s="897">
        <f t="shared" si="10"/>
        <v>4744.101218054103</v>
      </c>
      <c r="X16" s="4"/>
      <c r="Y16" s="1126"/>
    </row>
    <row r="17" spans="1:25" ht="30" customHeight="1">
      <c r="A17" s="51">
        <v>12</v>
      </c>
      <c r="B17" s="2"/>
      <c r="C17" s="1293" t="s">
        <v>8</v>
      </c>
      <c r="D17" s="1292" t="s">
        <v>25</v>
      </c>
      <c r="E17" s="1292"/>
      <c r="F17" s="510">
        <v>34463</v>
      </c>
      <c r="G17" s="510">
        <v>33753</v>
      </c>
      <c r="H17" s="510">
        <v>22631895</v>
      </c>
      <c r="I17" s="510">
        <v>20366998</v>
      </c>
      <c r="J17" s="510">
        <v>2405967</v>
      </c>
      <c r="K17" s="510">
        <v>1632118</v>
      </c>
      <c r="L17" s="510">
        <v>925349</v>
      </c>
      <c r="M17" s="510">
        <v>574033</v>
      </c>
      <c r="N17" s="510">
        <v>456879</v>
      </c>
      <c r="O17" s="510">
        <v>423459</v>
      </c>
      <c r="P17" s="511">
        <f t="shared" si="2"/>
        <v>4.1</v>
      </c>
      <c r="Q17" s="511">
        <f t="shared" si="3"/>
        <v>2.8</v>
      </c>
      <c r="R17" s="511">
        <f t="shared" si="4"/>
        <v>38.5</v>
      </c>
      <c r="S17" s="511">
        <f t="shared" si="5"/>
        <v>35.2</v>
      </c>
      <c r="T17" s="512">
        <f t="shared" si="7"/>
        <v>26850.506340132895</v>
      </c>
      <c r="U17" s="512">
        <f t="shared" si="8"/>
        <v>17006.87346309958</v>
      </c>
      <c r="V17" s="513">
        <f t="shared" si="9"/>
        <v>13257.08731102922</v>
      </c>
      <c r="W17" s="514">
        <f t="shared" si="10"/>
        <v>12545.818149497823</v>
      </c>
      <c r="X17" s="4"/>
      <c r="Y17" s="1126"/>
    </row>
    <row r="18" spans="1:25" ht="30" customHeight="1">
      <c r="A18" s="51">
        <v>13</v>
      </c>
      <c r="B18" s="2"/>
      <c r="C18" s="1294"/>
      <c r="D18" s="1287" t="s">
        <v>26</v>
      </c>
      <c r="E18" s="1287"/>
      <c r="F18" s="442">
        <v>43551</v>
      </c>
      <c r="G18" s="442">
        <v>42909</v>
      </c>
      <c r="H18" s="442">
        <v>26859954</v>
      </c>
      <c r="I18" s="442">
        <v>26002566</v>
      </c>
      <c r="J18" s="442">
        <v>2354454</v>
      </c>
      <c r="K18" s="442">
        <v>2782582</v>
      </c>
      <c r="L18" s="442">
        <v>568105</v>
      </c>
      <c r="M18" s="442">
        <v>572705</v>
      </c>
      <c r="N18" s="442">
        <v>553983</v>
      </c>
      <c r="O18" s="442">
        <v>556877</v>
      </c>
      <c r="P18" s="232">
        <f t="shared" si="2"/>
        <v>2.1</v>
      </c>
      <c r="Q18" s="232">
        <f t="shared" si="3"/>
        <v>2.2</v>
      </c>
      <c r="R18" s="232">
        <f t="shared" si="4"/>
        <v>24.1</v>
      </c>
      <c r="S18" s="232">
        <f t="shared" si="5"/>
        <v>20.6</v>
      </c>
      <c r="T18" s="233">
        <f t="shared" si="7"/>
        <v>13044.591398590159</v>
      </c>
      <c r="U18" s="233">
        <f t="shared" si="8"/>
        <v>13346.966836794145</v>
      </c>
      <c r="V18" s="148">
        <f t="shared" si="9"/>
        <v>12720.327891437626</v>
      </c>
      <c r="W18" s="234">
        <f t="shared" si="10"/>
        <v>12978.093173926216</v>
      </c>
      <c r="X18" s="4"/>
      <c r="Y18" s="1126"/>
    </row>
    <row r="19" spans="1:25" ht="30" customHeight="1">
      <c r="A19" s="51">
        <v>14</v>
      </c>
      <c r="B19" s="2"/>
      <c r="C19" s="1294"/>
      <c r="D19" s="1287" t="s">
        <v>43</v>
      </c>
      <c r="E19" s="1287"/>
      <c r="F19" s="148">
        <v>38474</v>
      </c>
      <c r="G19" s="148">
        <v>37746</v>
      </c>
      <c r="H19" s="148">
        <v>30804870</v>
      </c>
      <c r="I19" s="148">
        <v>30207323</v>
      </c>
      <c r="J19" s="148">
        <v>4196768</v>
      </c>
      <c r="K19" s="148">
        <v>3335710</v>
      </c>
      <c r="L19" s="148">
        <v>1825562</v>
      </c>
      <c r="M19" s="148">
        <v>1716927</v>
      </c>
      <c r="N19" s="148">
        <v>1284492</v>
      </c>
      <c r="O19" s="148">
        <v>1333278</v>
      </c>
      <c r="P19" s="232">
        <f t="shared" si="2"/>
        <v>5.9</v>
      </c>
      <c r="Q19" s="232">
        <f t="shared" si="3"/>
        <v>5.7</v>
      </c>
      <c r="R19" s="232">
        <f t="shared" si="4"/>
        <v>43.5</v>
      </c>
      <c r="S19" s="232">
        <f t="shared" si="5"/>
        <v>51.5</v>
      </c>
      <c r="T19" s="233">
        <f t="shared" si="7"/>
        <v>47449.23844674326</v>
      </c>
      <c r="U19" s="233">
        <f t="shared" si="8"/>
        <v>45486.329677316804</v>
      </c>
      <c r="V19" s="148">
        <f t="shared" si="9"/>
        <v>33385.974944118105</v>
      </c>
      <c r="W19" s="234">
        <f t="shared" si="10"/>
        <v>35322.365283738676</v>
      </c>
      <c r="X19" s="4"/>
      <c r="Y19" s="1126"/>
    </row>
    <row r="20" spans="1:25" ht="30" customHeight="1">
      <c r="A20" s="51">
        <v>15</v>
      </c>
      <c r="B20" s="2"/>
      <c r="C20" s="1294"/>
      <c r="D20" s="1287" t="s">
        <v>44</v>
      </c>
      <c r="E20" s="1287"/>
      <c r="F20" s="442">
        <v>16491</v>
      </c>
      <c r="G20" s="442">
        <v>16153</v>
      </c>
      <c r="H20" s="442">
        <v>11446764</v>
      </c>
      <c r="I20" s="442">
        <v>10585720</v>
      </c>
      <c r="J20" s="442">
        <v>1154483</v>
      </c>
      <c r="K20" s="442">
        <v>1295395</v>
      </c>
      <c r="L20" s="442">
        <v>510536</v>
      </c>
      <c r="M20" s="442">
        <v>535383</v>
      </c>
      <c r="N20" s="442">
        <v>440176</v>
      </c>
      <c r="O20" s="442">
        <v>481413</v>
      </c>
      <c r="P20" s="232">
        <f t="shared" si="2"/>
        <v>4.5</v>
      </c>
      <c r="Q20" s="232">
        <f t="shared" si="3"/>
        <v>5.1</v>
      </c>
      <c r="R20" s="232">
        <f t="shared" si="4"/>
        <v>44.2</v>
      </c>
      <c r="S20" s="232">
        <f t="shared" si="5"/>
        <v>41.3</v>
      </c>
      <c r="T20" s="233">
        <f t="shared" si="7"/>
        <v>30958.46219149839</v>
      </c>
      <c r="U20" s="233">
        <f t="shared" si="8"/>
        <v>33144.493282981486</v>
      </c>
      <c r="V20" s="148">
        <f t="shared" si="9"/>
        <v>26691.892547450123</v>
      </c>
      <c r="W20" s="234">
        <f t="shared" si="10"/>
        <v>29803.318269052186</v>
      </c>
      <c r="X20" s="4"/>
      <c r="Y20" s="1126"/>
    </row>
    <row r="21" spans="1:25" ht="30" customHeight="1">
      <c r="A21" s="51">
        <v>16</v>
      </c>
      <c r="B21" s="2"/>
      <c r="C21" s="1294"/>
      <c r="D21" s="1287" t="s">
        <v>53</v>
      </c>
      <c r="E21" s="1287"/>
      <c r="F21" s="442">
        <v>9427</v>
      </c>
      <c r="G21" s="442">
        <v>9164</v>
      </c>
      <c r="H21" s="442">
        <v>10840810</v>
      </c>
      <c r="I21" s="442">
        <v>10019122</v>
      </c>
      <c r="J21" s="442">
        <v>1196795</v>
      </c>
      <c r="K21" s="442">
        <v>852698</v>
      </c>
      <c r="L21" s="442">
        <v>257446</v>
      </c>
      <c r="M21" s="442">
        <v>305241</v>
      </c>
      <c r="N21" s="442">
        <v>241975</v>
      </c>
      <c r="O21" s="442">
        <v>245670</v>
      </c>
      <c r="P21" s="232">
        <f t="shared" si="2"/>
        <v>2.4</v>
      </c>
      <c r="Q21" s="232">
        <f t="shared" si="3"/>
        <v>3</v>
      </c>
      <c r="R21" s="232">
        <f t="shared" si="4"/>
        <v>21.5</v>
      </c>
      <c r="S21" s="232">
        <f t="shared" si="5"/>
        <v>35.8</v>
      </c>
      <c r="T21" s="233">
        <f t="shared" si="7"/>
        <v>27309.43035960539</v>
      </c>
      <c r="U21" s="233">
        <f t="shared" si="8"/>
        <v>33308.70798777826</v>
      </c>
      <c r="V21" s="148">
        <f t="shared" si="9"/>
        <v>25668.293200381882</v>
      </c>
      <c r="W21" s="234">
        <f t="shared" si="10"/>
        <v>26808.16237450895</v>
      </c>
      <c r="X21" s="4"/>
      <c r="Y21" s="1126"/>
    </row>
    <row r="22" spans="1:25" ht="30" customHeight="1">
      <c r="A22" s="51">
        <v>17</v>
      </c>
      <c r="B22" s="2"/>
      <c r="C22" s="1294"/>
      <c r="D22" s="1287" t="s">
        <v>27</v>
      </c>
      <c r="E22" s="1287"/>
      <c r="F22" s="442">
        <v>76347</v>
      </c>
      <c r="G22" s="442">
        <v>74822</v>
      </c>
      <c r="H22" s="442">
        <v>44912903</v>
      </c>
      <c r="I22" s="442">
        <v>44923572</v>
      </c>
      <c r="J22" s="442">
        <v>4358255</v>
      </c>
      <c r="K22" s="442">
        <v>4866100</v>
      </c>
      <c r="L22" s="442">
        <v>1068970</v>
      </c>
      <c r="M22" s="442">
        <v>683090</v>
      </c>
      <c r="N22" s="442">
        <v>543183</v>
      </c>
      <c r="O22" s="442">
        <v>603230</v>
      </c>
      <c r="P22" s="232">
        <f t="shared" si="2"/>
        <v>2.4</v>
      </c>
      <c r="Q22" s="232">
        <f t="shared" si="3"/>
        <v>1.5</v>
      </c>
      <c r="R22" s="232">
        <f t="shared" si="4"/>
        <v>24.5</v>
      </c>
      <c r="S22" s="232">
        <f t="shared" si="5"/>
        <v>14</v>
      </c>
      <c r="T22" s="233">
        <f t="shared" si="7"/>
        <v>14001.466986260102</v>
      </c>
      <c r="U22" s="233">
        <f t="shared" si="8"/>
        <v>9129.534094250355</v>
      </c>
      <c r="V22" s="148">
        <f t="shared" si="9"/>
        <v>7114.660693936893</v>
      </c>
      <c r="W22" s="234">
        <f t="shared" si="10"/>
        <v>8062.200956937799</v>
      </c>
      <c r="X22" s="4"/>
      <c r="Y22" s="1126"/>
    </row>
    <row r="23" spans="1:25" ht="30" customHeight="1">
      <c r="A23" s="51">
        <v>18</v>
      </c>
      <c r="B23" s="2"/>
      <c r="C23" s="1294"/>
      <c r="D23" s="1287" t="s">
        <v>54</v>
      </c>
      <c r="E23" s="1287"/>
      <c r="F23" s="148">
        <v>4012</v>
      </c>
      <c r="G23" s="148">
        <v>3973</v>
      </c>
      <c r="H23" s="148">
        <v>3470714</v>
      </c>
      <c r="I23" s="148">
        <v>3526030</v>
      </c>
      <c r="J23" s="148">
        <v>231297</v>
      </c>
      <c r="K23" s="148">
        <v>483570</v>
      </c>
      <c r="L23" s="148">
        <v>62785</v>
      </c>
      <c r="M23" s="148">
        <v>61612</v>
      </c>
      <c r="N23" s="148">
        <v>42280</v>
      </c>
      <c r="O23" s="148">
        <v>41061</v>
      </c>
      <c r="P23" s="232">
        <f t="shared" si="2"/>
        <v>1.8</v>
      </c>
      <c r="Q23" s="232">
        <f t="shared" si="3"/>
        <v>1.7</v>
      </c>
      <c r="R23" s="232">
        <f t="shared" si="4"/>
        <v>27.1</v>
      </c>
      <c r="S23" s="232">
        <f t="shared" si="5"/>
        <v>12.7</v>
      </c>
      <c r="T23" s="233">
        <f t="shared" si="7"/>
        <v>15649.302093718843</v>
      </c>
      <c r="U23" s="233">
        <f t="shared" si="8"/>
        <v>15507.676818525044</v>
      </c>
      <c r="V23" s="148">
        <f t="shared" si="9"/>
        <v>10538.38484546361</v>
      </c>
      <c r="W23" s="234">
        <f t="shared" si="10"/>
        <v>10335.011326453561</v>
      </c>
      <c r="X23" s="4"/>
      <c r="Y23" s="1126"/>
    </row>
    <row r="24" spans="1:25" ht="30" customHeight="1">
      <c r="A24" s="51">
        <v>19</v>
      </c>
      <c r="B24" s="2"/>
      <c r="C24" s="1294"/>
      <c r="D24" s="1287" t="s">
        <v>45</v>
      </c>
      <c r="E24" s="1287"/>
      <c r="F24" s="442">
        <v>10515</v>
      </c>
      <c r="G24" s="442">
        <v>10360</v>
      </c>
      <c r="H24" s="442">
        <v>7539100</v>
      </c>
      <c r="I24" s="442">
        <v>7097400</v>
      </c>
      <c r="J24" s="442">
        <v>715704</v>
      </c>
      <c r="K24" s="442">
        <v>656759</v>
      </c>
      <c r="L24" s="442">
        <v>233452</v>
      </c>
      <c r="M24" s="442">
        <v>183448</v>
      </c>
      <c r="N24" s="442">
        <v>199165</v>
      </c>
      <c r="O24" s="442">
        <v>145812</v>
      </c>
      <c r="P24" s="232">
        <f t="shared" si="2"/>
        <v>3.1</v>
      </c>
      <c r="Q24" s="232">
        <f t="shared" si="3"/>
        <v>2.6</v>
      </c>
      <c r="R24" s="232">
        <f t="shared" si="4"/>
        <v>32.6</v>
      </c>
      <c r="S24" s="232">
        <f t="shared" si="5"/>
        <v>27.9</v>
      </c>
      <c r="T24" s="233">
        <f t="shared" si="7"/>
        <v>22201.806942463147</v>
      </c>
      <c r="U24" s="233">
        <f t="shared" si="8"/>
        <v>17707.335907335906</v>
      </c>
      <c r="V24" s="148">
        <f t="shared" si="9"/>
        <v>18941.036614360437</v>
      </c>
      <c r="W24" s="234">
        <f t="shared" si="10"/>
        <v>14074.517374517374</v>
      </c>
      <c r="X24" s="4"/>
      <c r="Y24" s="1126"/>
    </row>
    <row r="25" spans="1:25" ht="30" customHeight="1" thickBot="1">
      <c r="A25" s="51">
        <v>20</v>
      </c>
      <c r="B25" s="2"/>
      <c r="C25" s="1294"/>
      <c r="D25" s="1288" t="s">
        <v>46</v>
      </c>
      <c r="E25" s="1288"/>
      <c r="F25" s="902">
        <v>21491</v>
      </c>
      <c r="G25" s="902">
        <v>20998</v>
      </c>
      <c r="H25" s="902">
        <v>15365795</v>
      </c>
      <c r="I25" s="902">
        <v>17241124</v>
      </c>
      <c r="J25" s="902">
        <v>1344590</v>
      </c>
      <c r="K25" s="902">
        <v>1363262</v>
      </c>
      <c r="L25" s="902">
        <v>421461</v>
      </c>
      <c r="M25" s="902">
        <v>412703</v>
      </c>
      <c r="N25" s="902">
        <v>366346</v>
      </c>
      <c r="O25" s="902">
        <v>370685</v>
      </c>
      <c r="P25" s="899">
        <f t="shared" si="2"/>
        <v>2.7</v>
      </c>
      <c r="Q25" s="899">
        <f t="shared" si="3"/>
        <v>2.4</v>
      </c>
      <c r="R25" s="899">
        <f t="shared" si="4"/>
        <v>31.3</v>
      </c>
      <c r="S25" s="899">
        <f t="shared" si="5"/>
        <v>30.3</v>
      </c>
      <c r="T25" s="900">
        <f t="shared" si="7"/>
        <v>19611.046484574937</v>
      </c>
      <c r="U25" s="900">
        <f t="shared" si="8"/>
        <v>19654.39565672921</v>
      </c>
      <c r="V25" s="898">
        <f t="shared" si="9"/>
        <v>17046.484574938346</v>
      </c>
      <c r="W25" s="901">
        <f t="shared" si="10"/>
        <v>17653.347937898845</v>
      </c>
      <c r="X25" s="4"/>
      <c r="Y25" s="1126"/>
    </row>
    <row r="26" spans="2:25" ht="30" customHeight="1" thickBot="1" thickTop="1">
      <c r="B26" s="2"/>
      <c r="C26" s="1295"/>
      <c r="D26" s="1289" t="s">
        <v>20</v>
      </c>
      <c r="E26" s="1289"/>
      <c r="F26" s="894">
        <f>SUM(F17:F25)</f>
        <v>254771</v>
      </c>
      <c r="G26" s="894">
        <f aca="true" t="shared" si="13" ref="G26:O26">SUM(G17:G25)</f>
        <v>249878</v>
      </c>
      <c r="H26" s="894">
        <f>SUM(H17:H25)</f>
        <v>173872805</v>
      </c>
      <c r="I26" s="894">
        <f t="shared" si="13"/>
        <v>169969855</v>
      </c>
      <c r="J26" s="894">
        <f>SUM(J17:J25)</f>
        <v>17958313</v>
      </c>
      <c r="K26" s="894">
        <f t="shared" si="13"/>
        <v>17268194</v>
      </c>
      <c r="L26" s="894">
        <f>SUM(L17:L25)</f>
        <v>5873666</v>
      </c>
      <c r="M26" s="894">
        <f t="shared" si="13"/>
        <v>5045142</v>
      </c>
      <c r="N26" s="894">
        <f>SUM(N17:N25)</f>
        <v>4128479</v>
      </c>
      <c r="O26" s="894">
        <f t="shared" si="13"/>
        <v>4201485</v>
      </c>
      <c r="P26" s="895">
        <f t="shared" si="2"/>
        <v>3.4</v>
      </c>
      <c r="Q26" s="895">
        <f t="shared" si="3"/>
        <v>3</v>
      </c>
      <c r="R26" s="895">
        <f t="shared" si="4"/>
        <v>32.7</v>
      </c>
      <c r="S26" s="895">
        <f t="shared" si="5"/>
        <v>29.2</v>
      </c>
      <c r="T26" s="896">
        <f t="shared" si="7"/>
        <v>23054.688327949414</v>
      </c>
      <c r="U26" s="896">
        <f t="shared" si="8"/>
        <v>20190.4209254116</v>
      </c>
      <c r="V26" s="894">
        <f t="shared" si="9"/>
        <v>16204.66615117105</v>
      </c>
      <c r="W26" s="897">
        <f t="shared" si="10"/>
        <v>16814.14530290782</v>
      </c>
      <c r="X26" s="4"/>
      <c r="Y26" s="1126"/>
    </row>
    <row r="27" spans="2:24" ht="56.25" customHeight="1">
      <c r="B27" s="2"/>
      <c r="D27" s="1127"/>
      <c r="E27" s="1127"/>
      <c r="F27" s="1286"/>
      <c r="G27" s="1286"/>
      <c r="H27" s="1286"/>
      <c r="I27" s="1286"/>
      <c r="J27" s="1286"/>
      <c r="K27" s="1286"/>
      <c r="L27" s="1128"/>
      <c r="M27" s="1128"/>
      <c r="N27" s="4"/>
      <c r="O27" s="4"/>
      <c r="P27" s="4"/>
      <c r="Q27" s="4"/>
      <c r="R27" s="4"/>
      <c r="S27" s="4"/>
      <c r="T27" s="4"/>
      <c r="U27" s="4"/>
      <c r="V27" s="4"/>
      <c r="W27" s="4"/>
      <c r="X27" s="2"/>
    </row>
  </sheetData>
  <sheetProtection/>
  <mergeCells count="37">
    <mergeCell ref="C4:C9"/>
    <mergeCell ref="C1:E2"/>
    <mergeCell ref="C3:E3"/>
    <mergeCell ref="D4:E4"/>
    <mergeCell ref="D5:E5"/>
    <mergeCell ref="D7:E7"/>
    <mergeCell ref="D8:E8"/>
    <mergeCell ref="D9:E9"/>
    <mergeCell ref="D11:E11"/>
    <mergeCell ref="V1:W1"/>
    <mergeCell ref="H1:I1"/>
    <mergeCell ref="J1:K1"/>
    <mergeCell ref="L1:M1"/>
    <mergeCell ref="N1:O1"/>
    <mergeCell ref="P1:Q1"/>
    <mergeCell ref="R1:S1"/>
    <mergeCell ref="D6:E6"/>
    <mergeCell ref="C17:C26"/>
    <mergeCell ref="D14:E14"/>
    <mergeCell ref="D15:E15"/>
    <mergeCell ref="C10:C16"/>
    <mergeCell ref="D12:E12"/>
    <mergeCell ref="D13:E13"/>
    <mergeCell ref="D16:E16"/>
    <mergeCell ref="D17:E17"/>
    <mergeCell ref="D23:E23"/>
    <mergeCell ref="D18:E18"/>
    <mergeCell ref="F27:K27"/>
    <mergeCell ref="D24:E24"/>
    <mergeCell ref="D25:E25"/>
    <mergeCell ref="D26:E26"/>
    <mergeCell ref="T1:U1"/>
    <mergeCell ref="D19:E19"/>
    <mergeCell ref="D22:E22"/>
    <mergeCell ref="D20:E20"/>
    <mergeCell ref="D21:E21"/>
    <mergeCell ref="D10:E10"/>
  </mergeCells>
  <printOptions/>
  <pageMargins left="0.7086614173228347" right="0.1968503937007874" top="1.062992125984252" bottom="0.1968503937007874" header="0.7874015748031497" footer="0.3937007874015748"/>
  <pageSetup firstPageNumber="2" useFirstPageNumber="1" horizontalDpi="600" verticalDpi="600" orientation="portrait" pageOrder="overThenDown" paperSize="9" scale="95" r:id="rId1"/>
  <headerFooter scaleWithDoc="0" alignWithMargins="0">
    <oddHeader>&amp;L&amp;"ＭＳ Ｐゴシック,太字"１　市町社会教育費</oddHeader>
    <oddFooter>&amp;C&amp;12&amp;P</oddFooter>
  </headerFooter>
  <colBreaks count="1" manualBreakCount="1">
    <brk id="17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="120" zoomScaleNormal="130" zoomScaleSheetLayoutView="120" zoomScalePageLayoutView="0" workbookViewId="0" topLeftCell="A1">
      <selection activeCell="N6" sqref="N6"/>
    </sheetView>
  </sheetViews>
  <sheetFormatPr defaultColWidth="9.00390625" defaultRowHeight="13.5"/>
  <cols>
    <col min="1" max="1" width="2.875" style="31" customWidth="1"/>
    <col min="2" max="2" width="2.625" style="31" customWidth="1"/>
    <col min="3" max="3" width="7.125" style="31" customWidth="1"/>
    <col min="4" max="16" width="6.125" style="31" customWidth="1"/>
    <col min="17" max="17" width="1.00390625" style="18" customWidth="1"/>
    <col min="18" max="18" width="6.00390625" style="18" customWidth="1"/>
    <col min="19" max="28" width="4.625" style="18" customWidth="1"/>
    <col min="29" max="29" width="0.875" style="18" customWidth="1"/>
    <col min="30" max="16384" width="9.00390625" style="18" customWidth="1"/>
  </cols>
  <sheetData>
    <row r="1" spans="1:28" s="36" customFormat="1" ht="20.25" customHeight="1">
      <c r="A1" s="1314" t="s">
        <v>58</v>
      </c>
      <c r="B1" s="1315"/>
      <c r="C1" s="1316"/>
      <c r="D1" s="1323" t="s">
        <v>68</v>
      </c>
      <c r="E1" s="35"/>
      <c r="F1" s="35"/>
      <c r="G1" s="35"/>
      <c r="H1" s="35"/>
      <c r="I1" s="35"/>
      <c r="J1" s="1311" t="s">
        <v>69</v>
      </c>
      <c r="K1" s="1312"/>
      <c r="L1" s="1312"/>
      <c r="M1" s="1313"/>
      <c r="N1" s="1327" t="s">
        <v>48</v>
      </c>
      <c r="O1" s="1328"/>
      <c r="P1" s="1329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s="36" customFormat="1" ht="20.25" customHeight="1">
      <c r="A2" s="1317"/>
      <c r="B2" s="1318"/>
      <c r="C2" s="1319"/>
      <c r="D2" s="1324"/>
      <c r="E2" s="1326" t="s">
        <v>64</v>
      </c>
      <c r="F2" s="1326" t="s">
        <v>65</v>
      </c>
      <c r="G2" s="1326" t="s">
        <v>66</v>
      </c>
      <c r="H2" s="1326" t="s">
        <v>67</v>
      </c>
      <c r="I2" s="1306" t="s">
        <v>55</v>
      </c>
      <c r="J2" s="1308" t="s">
        <v>70</v>
      </c>
      <c r="K2" s="1309"/>
      <c r="L2" s="1309" t="s">
        <v>71</v>
      </c>
      <c r="M2" s="1310"/>
      <c r="N2" s="1330" t="s">
        <v>49</v>
      </c>
      <c r="O2" s="1331"/>
      <c r="P2" s="164" t="s">
        <v>737</v>
      </c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36" customFormat="1" ht="18.75" customHeight="1" thickBot="1">
      <c r="A3" s="1320"/>
      <c r="B3" s="1321"/>
      <c r="C3" s="1322"/>
      <c r="D3" s="1325"/>
      <c r="E3" s="1325"/>
      <c r="F3" s="1325"/>
      <c r="G3" s="1325"/>
      <c r="H3" s="1325"/>
      <c r="I3" s="1307"/>
      <c r="J3" s="37" t="s">
        <v>2</v>
      </c>
      <c r="K3" s="38" t="s">
        <v>1</v>
      </c>
      <c r="L3" s="38" t="s">
        <v>2</v>
      </c>
      <c r="M3" s="39" t="s">
        <v>1</v>
      </c>
      <c r="N3" s="165" t="s">
        <v>72</v>
      </c>
      <c r="O3" s="23" t="s">
        <v>50</v>
      </c>
      <c r="P3" s="166" t="s">
        <v>72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17" ht="15" customHeight="1">
      <c r="A4" s="1342" t="s">
        <v>31</v>
      </c>
      <c r="B4" s="1343"/>
      <c r="C4" s="1344"/>
      <c r="D4" s="183">
        <f>D16+D30+D50</f>
        <v>825</v>
      </c>
      <c r="E4" s="183">
        <f aca="true" t="shared" si="0" ref="E4:P5">E16+E30+E50</f>
        <v>7</v>
      </c>
      <c r="F4" s="183">
        <f t="shared" si="0"/>
        <v>55</v>
      </c>
      <c r="G4" s="183">
        <f t="shared" si="0"/>
        <v>81</v>
      </c>
      <c r="H4" s="183">
        <f t="shared" si="0"/>
        <v>125</v>
      </c>
      <c r="I4" s="183">
        <f t="shared" si="0"/>
        <v>557</v>
      </c>
      <c r="J4" s="184">
        <f t="shared" si="0"/>
        <v>6</v>
      </c>
      <c r="K4" s="183">
        <f t="shared" si="0"/>
        <v>12</v>
      </c>
      <c r="L4" s="183">
        <f t="shared" si="0"/>
        <v>220</v>
      </c>
      <c r="M4" s="185">
        <f t="shared" si="0"/>
        <v>99</v>
      </c>
      <c r="N4" s="249">
        <f t="shared" si="0"/>
        <v>294</v>
      </c>
      <c r="O4" s="250">
        <f t="shared" si="0"/>
        <v>31</v>
      </c>
      <c r="P4" s="251">
        <f t="shared" si="0"/>
        <v>126</v>
      </c>
      <c r="Q4" s="186">
        <f>SUM(N4:P4)</f>
        <v>451</v>
      </c>
    </row>
    <row r="5" spans="1:16" ht="15" customHeight="1" thickBot="1">
      <c r="A5" s="1345"/>
      <c r="B5" s="1346"/>
      <c r="C5" s="1347"/>
      <c r="D5" s="187">
        <f aca="true" t="shared" si="1" ref="D5:M5">D17+D31+D51</f>
        <v>303</v>
      </c>
      <c r="E5" s="187">
        <f t="shared" si="1"/>
        <v>0</v>
      </c>
      <c r="F5" s="187">
        <f t="shared" si="1"/>
        <v>1</v>
      </c>
      <c r="G5" s="187">
        <f t="shared" si="1"/>
        <v>9</v>
      </c>
      <c r="H5" s="187">
        <f t="shared" si="1"/>
        <v>23</v>
      </c>
      <c r="I5" s="187">
        <f t="shared" si="1"/>
        <v>270</v>
      </c>
      <c r="J5" s="188">
        <f t="shared" si="1"/>
        <v>1</v>
      </c>
      <c r="K5" s="187">
        <f t="shared" si="1"/>
        <v>3</v>
      </c>
      <c r="L5" s="187">
        <f t="shared" si="1"/>
        <v>171</v>
      </c>
      <c r="M5" s="189">
        <f t="shared" si="1"/>
        <v>36</v>
      </c>
      <c r="N5" s="252">
        <f>N17+N31+N51</f>
        <v>29</v>
      </c>
      <c r="O5" s="253">
        <f t="shared" si="0"/>
        <v>2</v>
      </c>
      <c r="P5" s="254">
        <f t="shared" si="0"/>
        <v>10</v>
      </c>
    </row>
    <row r="6" spans="1:16" ht="15" customHeight="1">
      <c r="A6" s="1352" t="s">
        <v>7</v>
      </c>
      <c r="B6" s="1348" t="s">
        <v>18</v>
      </c>
      <c r="C6" s="1349"/>
      <c r="D6" s="579">
        <f aca="true" t="shared" si="2" ref="D6:D51">SUM(E6:I6)</f>
        <v>24</v>
      </c>
      <c r="E6" s="579"/>
      <c r="F6" s="579">
        <v>4</v>
      </c>
      <c r="G6" s="579">
        <v>5</v>
      </c>
      <c r="H6" s="580">
        <v>5</v>
      </c>
      <c r="I6" s="580">
        <v>10</v>
      </c>
      <c r="J6" s="581"/>
      <c r="K6" s="580">
        <v>1</v>
      </c>
      <c r="L6" s="580">
        <v>4</v>
      </c>
      <c r="M6" s="582"/>
      <c r="N6" s="583">
        <v>29</v>
      </c>
      <c r="O6" s="580">
        <v>1</v>
      </c>
      <c r="P6" s="584">
        <v>3</v>
      </c>
    </row>
    <row r="7" spans="1:16" ht="15" customHeight="1">
      <c r="A7" s="1353"/>
      <c r="B7" s="1350"/>
      <c r="C7" s="1351"/>
      <c r="D7" s="531">
        <f t="shared" si="2"/>
        <v>11</v>
      </c>
      <c r="E7" s="531"/>
      <c r="F7" s="531"/>
      <c r="G7" s="531">
        <v>1</v>
      </c>
      <c r="H7" s="532">
        <v>1</v>
      </c>
      <c r="I7" s="532">
        <v>9</v>
      </c>
      <c r="J7" s="534"/>
      <c r="K7" s="532">
        <v>1</v>
      </c>
      <c r="L7" s="532">
        <v>3</v>
      </c>
      <c r="M7" s="536"/>
      <c r="N7" s="538">
        <v>16</v>
      </c>
      <c r="O7" s="532"/>
      <c r="P7" s="540"/>
    </row>
    <row r="8" spans="1:16" ht="15" customHeight="1">
      <c r="A8" s="1353"/>
      <c r="B8" s="1332" t="s">
        <v>19</v>
      </c>
      <c r="C8" s="1333"/>
      <c r="D8" s="191">
        <f t="shared" si="2"/>
        <v>173</v>
      </c>
      <c r="E8" s="191">
        <v>1</v>
      </c>
      <c r="F8" s="191">
        <v>5</v>
      </c>
      <c r="G8" s="191">
        <v>2</v>
      </c>
      <c r="H8" s="530">
        <v>5</v>
      </c>
      <c r="I8" s="530">
        <v>160</v>
      </c>
      <c r="J8" s="533"/>
      <c r="K8" s="530"/>
      <c r="L8" s="530">
        <v>111</v>
      </c>
      <c r="M8" s="535">
        <v>20</v>
      </c>
      <c r="N8" s="537">
        <v>13</v>
      </c>
      <c r="O8" s="530"/>
      <c r="P8" s="539">
        <v>5</v>
      </c>
    </row>
    <row r="9" spans="1:16" ht="15" customHeight="1">
      <c r="A9" s="1353"/>
      <c r="B9" s="1350"/>
      <c r="C9" s="1351"/>
      <c r="D9" s="531">
        <f t="shared" si="2"/>
        <v>101</v>
      </c>
      <c r="E9" s="531"/>
      <c r="F9" s="531"/>
      <c r="G9" s="531"/>
      <c r="H9" s="532">
        <v>1</v>
      </c>
      <c r="I9" s="532">
        <v>100</v>
      </c>
      <c r="J9" s="534"/>
      <c r="K9" s="532"/>
      <c r="L9" s="532">
        <v>93</v>
      </c>
      <c r="M9" s="536"/>
      <c r="N9" s="538">
        <v>4</v>
      </c>
      <c r="O9" s="532"/>
      <c r="P9" s="540">
        <v>1</v>
      </c>
    </row>
    <row r="10" spans="1:16" ht="15" customHeight="1">
      <c r="A10" s="1353"/>
      <c r="B10" s="1332" t="s">
        <v>39</v>
      </c>
      <c r="C10" s="1333"/>
      <c r="D10" s="191">
        <f t="shared" si="2"/>
        <v>73</v>
      </c>
      <c r="E10" s="563"/>
      <c r="F10" s="563">
        <v>2</v>
      </c>
      <c r="G10" s="563">
        <v>6</v>
      </c>
      <c r="H10" s="564">
        <v>6</v>
      </c>
      <c r="I10" s="564">
        <v>59</v>
      </c>
      <c r="J10" s="565"/>
      <c r="K10" s="564"/>
      <c r="L10" s="564">
        <v>9</v>
      </c>
      <c r="M10" s="566">
        <v>24</v>
      </c>
      <c r="N10" s="192">
        <v>17</v>
      </c>
      <c r="O10" s="564">
        <v>5</v>
      </c>
      <c r="P10" s="567">
        <v>5</v>
      </c>
    </row>
    <row r="11" spans="1:16" ht="15" customHeight="1">
      <c r="A11" s="1353"/>
      <c r="B11" s="1340"/>
      <c r="C11" s="1341"/>
      <c r="D11" s="531">
        <f t="shared" si="2"/>
        <v>19</v>
      </c>
      <c r="E11" s="531"/>
      <c r="F11" s="531"/>
      <c r="G11" s="531">
        <v>1</v>
      </c>
      <c r="H11" s="532">
        <v>2</v>
      </c>
      <c r="I11" s="532">
        <v>16</v>
      </c>
      <c r="J11" s="534"/>
      <c r="K11" s="532"/>
      <c r="L11" s="532">
        <v>8</v>
      </c>
      <c r="M11" s="536">
        <v>4</v>
      </c>
      <c r="N11" s="538"/>
      <c r="O11" s="532"/>
      <c r="P11" s="540"/>
    </row>
    <row r="12" spans="1:16" ht="15" customHeight="1">
      <c r="A12" s="1353"/>
      <c r="B12" s="1332" t="s">
        <v>21</v>
      </c>
      <c r="C12" s="1333"/>
      <c r="D12" s="191">
        <f t="shared" si="2"/>
        <v>110</v>
      </c>
      <c r="E12" s="563">
        <v>1</v>
      </c>
      <c r="F12" s="563">
        <v>14</v>
      </c>
      <c r="G12" s="563">
        <v>16</v>
      </c>
      <c r="H12" s="564">
        <v>13</v>
      </c>
      <c r="I12" s="564">
        <v>66</v>
      </c>
      <c r="J12" s="565">
        <v>3</v>
      </c>
      <c r="K12" s="564"/>
      <c r="L12" s="564">
        <v>29</v>
      </c>
      <c r="M12" s="566">
        <v>5</v>
      </c>
      <c r="N12" s="192">
        <v>18</v>
      </c>
      <c r="O12" s="564">
        <v>4</v>
      </c>
      <c r="P12" s="567">
        <v>9</v>
      </c>
    </row>
    <row r="13" spans="1:16" ht="15" customHeight="1">
      <c r="A13" s="1355"/>
      <c r="B13" s="1350"/>
      <c r="C13" s="1351"/>
      <c r="D13" s="531">
        <f t="shared" si="2"/>
        <v>36</v>
      </c>
      <c r="E13" s="531"/>
      <c r="F13" s="531"/>
      <c r="G13" s="531">
        <v>1</v>
      </c>
      <c r="H13" s="532">
        <v>1</v>
      </c>
      <c r="I13" s="532">
        <v>34</v>
      </c>
      <c r="J13" s="534">
        <v>1</v>
      </c>
      <c r="K13" s="532"/>
      <c r="L13" s="532">
        <v>20</v>
      </c>
      <c r="M13" s="536">
        <v>4</v>
      </c>
      <c r="N13" s="538"/>
      <c r="O13" s="532"/>
      <c r="P13" s="540">
        <v>2</v>
      </c>
    </row>
    <row r="14" spans="1:16" ht="15" customHeight="1">
      <c r="A14" s="1353"/>
      <c r="B14" s="1332" t="s">
        <v>40</v>
      </c>
      <c r="C14" s="1333"/>
      <c r="D14" s="191">
        <f t="shared" si="2"/>
        <v>16</v>
      </c>
      <c r="E14" s="191"/>
      <c r="F14" s="191">
        <v>2</v>
      </c>
      <c r="G14" s="191"/>
      <c r="H14" s="530">
        <v>2</v>
      </c>
      <c r="I14" s="530">
        <v>12</v>
      </c>
      <c r="J14" s="533"/>
      <c r="K14" s="530"/>
      <c r="L14" s="530">
        <v>2</v>
      </c>
      <c r="M14" s="535"/>
      <c r="N14" s="537">
        <v>2</v>
      </c>
      <c r="O14" s="530">
        <v>1</v>
      </c>
      <c r="P14" s="539">
        <v>2</v>
      </c>
    </row>
    <row r="15" spans="1:16" ht="15" customHeight="1" thickBot="1">
      <c r="A15" s="1353"/>
      <c r="B15" s="1334"/>
      <c r="C15" s="1335"/>
      <c r="D15" s="909">
        <f t="shared" si="2"/>
        <v>5</v>
      </c>
      <c r="E15" s="909"/>
      <c r="F15" s="909"/>
      <c r="G15" s="909"/>
      <c r="H15" s="910">
        <v>1</v>
      </c>
      <c r="I15" s="910">
        <v>4</v>
      </c>
      <c r="J15" s="911"/>
      <c r="K15" s="910"/>
      <c r="L15" s="910"/>
      <c r="M15" s="912"/>
      <c r="N15" s="913"/>
      <c r="O15" s="910"/>
      <c r="P15" s="914"/>
    </row>
    <row r="16" spans="1:16" ht="15" customHeight="1" thickTop="1">
      <c r="A16" s="1353"/>
      <c r="B16" s="1336" t="s">
        <v>59</v>
      </c>
      <c r="C16" s="1337"/>
      <c r="D16" s="563">
        <f t="shared" si="2"/>
        <v>396</v>
      </c>
      <c r="E16" s="563">
        <f aca="true" t="shared" si="3" ref="E16:P17">E6+E8+E10+E12+E14</f>
        <v>2</v>
      </c>
      <c r="F16" s="563">
        <f t="shared" si="3"/>
        <v>27</v>
      </c>
      <c r="G16" s="563">
        <f t="shared" si="3"/>
        <v>29</v>
      </c>
      <c r="H16" s="563">
        <f t="shared" si="3"/>
        <v>31</v>
      </c>
      <c r="I16" s="563">
        <f t="shared" si="3"/>
        <v>307</v>
      </c>
      <c r="J16" s="904">
        <f t="shared" si="3"/>
        <v>3</v>
      </c>
      <c r="K16" s="563">
        <f t="shared" si="3"/>
        <v>1</v>
      </c>
      <c r="L16" s="563">
        <f t="shared" si="3"/>
        <v>155</v>
      </c>
      <c r="M16" s="905">
        <f t="shared" si="3"/>
        <v>49</v>
      </c>
      <c r="N16" s="906">
        <f t="shared" si="3"/>
        <v>79</v>
      </c>
      <c r="O16" s="907">
        <f t="shared" si="3"/>
        <v>11</v>
      </c>
      <c r="P16" s="908">
        <f>P6+P8+P10+P12+P14</f>
        <v>24</v>
      </c>
    </row>
    <row r="17" spans="1:16" ht="15" customHeight="1" thickBot="1">
      <c r="A17" s="1354"/>
      <c r="B17" s="1338"/>
      <c r="C17" s="1339"/>
      <c r="D17" s="193">
        <f t="shared" si="2"/>
        <v>172</v>
      </c>
      <c r="E17" s="198"/>
      <c r="F17" s="198"/>
      <c r="G17" s="194">
        <f aca="true" t="shared" si="4" ref="G17:M17">G7+G9+G11+G13+G15</f>
        <v>3</v>
      </c>
      <c r="H17" s="194">
        <f t="shared" si="4"/>
        <v>6</v>
      </c>
      <c r="I17" s="194">
        <f t="shared" si="4"/>
        <v>163</v>
      </c>
      <c r="J17" s="195">
        <f t="shared" si="4"/>
        <v>1</v>
      </c>
      <c r="K17" s="194">
        <f t="shared" si="4"/>
        <v>1</v>
      </c>
      <c r="L17" s="194">
        <f t="shared" si="4"/>
        <v>124</v>
      </c>
      <c r="M17" s="196">
        <f t="shared" si="4"/>
        <v>8</v>
      </c>
      <c r="N17" s="255">
        <f t="shared" si="3"/>
        <v>20</v>
      </c>
      <c r="O17" s="256">
        <f t="shared" si="3"/>
        <v>0</v>
      </c>
      <c r="P17" s="257">
        <f t="shared" si="3"/>
        <v>3</v>
      </c>
    </row>
    <row r="18" spans="1:19" ht="15" customHeight="1">
      <c r="A18" s="1352" t="s">
        <v>9</v>
      </c>
      <c r="B18" s="1348" t="s">
        <v>22</v>
      </c>
      <c r="C18" s="1349"/>
      <c r="D18" s="563">
        <f t="shared" si="2"/>
        <v>142</v>
      </c>
      <c r="E18" s="563">
        <v>1</v>
      </c>
      <c r="F18" s="563">
        <v>6</v>
      </c>
      <c r="G18" s="563">
        <v>8</v>
      </c>
      <c r="H18" s="564">
        <v>28</v>
      </c>
      <c r="I18" s="564">
        <v>99</v>
      </c>
      <c r="J18" s="565"/>
      <c r="K18" s="564"/>
      <c r="L18" s="564">
        <v>8</v>
      </c>
      <c r="M18" s="566">
        <v>39</v>
      </c>
      <c r="N18" s="192">
        <v>29</v>
      </c>
      <c r="O18" s="564">
        <v>1</v>
      </c>
      <c r="P18" s="567">
        <v>35</v>
      </c>
      <c r="Q18" s="197"/>
      <c r="S18" s="192"/>
    </row>
    <row r="19" spans="1:16" ht="15" customHeight="1">
      <c r="A19" s="1353"/>
      <c r="B19" s="1350"/>
      <c r="C19" s="1351"/>
      <c r="D19" s="531">
        <f t="shared" si="2"/>
        <v>45</v>
      </c>
      <c r="E19" s="531"/>
      <c r="F19" s="531"/>
      <c r="G19" s="531">
        <v>1</v>
      </c>
      <c r="H19" s="532">
        <v>2</v>
      </c>
      <c r="I19" s="532">
        <v>42</v>
      </c>
      <c r="J19" s="534"/>
      <c r="K19" s="532"/>
      <c r="L19" s="532">
        <v>4</v>
      </c>
      <c r="M19" s="536">
        <v>23</v>
      </c>
      <c r="N19" s="538"/>
      <c r="O19" s="532"/>
      <c r="P19" s="540">
        <v>3</v>
      </c>
    </row>
    <row r="20" spans="1:16" ht="15" customHeight="1">
      <c r="A20" s="1356"/>
      <c r="B20" s="1332" t="s">
        <v>23</v>
      </c>
      <c r="C20" s="1333"/>
      <c r="D20" s="191">
        <f t="shared" si="2"/>
        <v>36</v>
      </c>
      <c r="E20" s="563"/>
      <c r="F20" s="563">
        <v>1</v>
      </c>
      <c r="G20" s="563">
        <v>3</v>
      </c>
      <c r="H20" s="564">
        <v>5</v>
      </c>
      <c r="I20" s="564">
        <v>27</v>
      </c>
      <c r="J20" s="565">
        <v>2</v>
      </c>
      <c r="K20" s="564"/>
      <c r="L20" s="564">
        <v>13</v>
      </c>
      <c r="M20" s="566">
        <v>3</v>
      </c>
      <c r="N20" s="192">
        <v>17</v>
      </c>
      <c r="O20" s="564">
        <v>4</v>
      </c>
      <c r="P20" s="567">
        <v>8</v>
      </c>
    </row>
    <row r="21" spans="1:16" ht="15" customHeight="1">
      <c r="A21" s="1356"/>
      <c r="B21" s="1350"/>
      <c r="C21" s="1351"/>
      <c r="D21" s="531">
        <f t="shared" si="2"/>
        <v>14</v>
      </c>
      <c r="E21" s="531"/>
      <c r="F21" s="531"/>
      <c r="G21" s="531">
        <v>1</v>
      </c>
      <c r="H21" s="532">
        <v>2</v>
      </c>
      <c r="I21" s="532">
        <v>11</v>
      </c>
      <c r="J21" s="534"/>
      <c r="K21" s="532"/>
      <c r="L21" s="532">
        <v>7</v>
      </c>
      <c r="M21" s="536">
        <v>2</v>
      </c>
      <c r="N21" s="538">
        <v>1</v>
      </c>
      <c r="O21" s="532"/>
      <c r="P21" s="540">
        <v>1</v>
      </c>
    </row>
    <row r="22" spans="1:19" ht="15" customHeight="1">
      <c r="A22" s="1356"/>
      <c r="B22" s="1332" t="s">
        <v>41</v>
      </c>
      <c r="C22" s="1333"/>
      <c r="D22" s="191">
        <f t="shared" si="2"/>
        <v>22</v>
      </c>
      <c r="E22" s="191"/>
      <c r="F22" s="191">
        <v>1</v>
      </c>
      <c r="G22" s="191">
        <v>3</v>
      </c>
      <c r="H22" s="530">
        <v>3</v>
      </c>
      <c r="I22" s="530">
        <v>15</v>
      </c>
      <c r="J22" s="533">
        <v>1</v>
      </c>
      <c r="K22" s="530"/>
      <c r="L22" s="530">
        <v>8</v>
      </c>
      <c r="M22" s="535"/>
      <c r="N22" s="537">
        <v>10</v>
      </c>
      <c r="O22" s="530">
        <v>2</v>
      </c>
      <c r="P22" s="539">
        <v>2</v>
      </c>
      <c r="S22" s="192"/>
    </row>
    <row r="23" spans="1:19" ht="15" customHeight="1">
      <c r="A23" s="1356"/>
      <c r="B23" s="1350"/>
      <c r="C23" s="1351"/>
      <c r="D23" s="531">
        <f t="shared" si="2"/>
        <v>11</v>
      </c>
      <c r="E23" s="531"/>
      <c r="F23" s="531"/>
      <c r="G23" s="531">
        <v>1</v>
      </c>
      <c r="H23" s="532"/>
      <c r="I23" s="532">
        <v>10</v>
      </c>
      <c r="J23" s="534"/>
      <c r="K23" s="532"/>
      <c r="L23" s="532">
        <v>8</v>
      </c>
      <c r="M23" s="536"/>
      <c r="N23" s="538">
        <v>1</v>
      </c>
      <c r="O23" s="532"/>
      <c r="P23" s="540"/>
      <c r="S23" s="186"/>
    </row>
    <row r="24" spans="1:19" ht="15" customHeight="1">
      <c r="A24" s="1356"/>
      <c r="B24" s="1332" t="s">
        <v>42</v>
      </c>
      <c r="C24" s="1333"/>
      <c r="D24" s="191">
        <f t="shared" si="2"/>
        <v>13</v>
      </c>
      <c r="E24" s="191"/>
      <c r="F24" s="191"/>
      <c r="G24" s="191">
        <v>1</v>
      </c>
      <c r="H24" s="530">
        <v>3</v>
      </c>
      <c r="I24" s="530">
        <v>9</v>
      </c>
      <c r="J24" s="533"/>
      <c r="K24" s="530"/>
      <c r="L24" s="530"/>
      <c r="M24" s="535"/>
      <c r="N24" s="537">
        <v>4</v>
      </c>
      <c r="O24" s="530">
        <v>1</v>
      </c>
      <c r="P24" s="539">
        <v>1</v>
      </c>
      <c r="S24" s="186"/>
    </row>
    <row r="25" spans="1:16" ht="15" customHeight="1">
      <c r="A25" s="1356"/>
      <c r="B25" s="1350"/>
      <c r="C25" s="1351"/>
      <c r="D25" s="531">
        <f t="shared" si="2"/>
        <v>3</v>
      </c>
      <c r="E25" s="531"/>
      <c r="F25" s="531"/>
      <c r="G25" s="531">
        <v>1</v>
      </c>
      <c r="H25" s="532"/>
      <c r="I25" s="532">
        <v>2</v>
      </c>
      <c r="J25" s="534"/>
      <c r="K25" s="532"/>
      <c r="L25" s="532"/>
      <c r="M25" s="536"/>
      <c r="N25" s="538"/>
      <c r="O25" s="532"/>
      <c r="P25" s="540"/>
    </row>
    <row r="26" spans="1:16" ht="15" customHeight="1">
      <c r="A26" s="1356"/>
      <c r="B26" s="1332" t="s">
        <v>51</v>
      </c>
      <c r="C26" s="1333" t="s">
        <v>24</v>
      </c>
      <c r="D26" s="191">
        <f t="shared" si="2"/>
        <v>20</v>
      </c>
      <c r="E26" s="563">
        <v>1</v>
      </c>
      <c r="F26" s="563">
        <v>1</v>
      </c>
      <c r="G26" s="563">
        <v>2</v>
      </c>
      <c r="H26" s="564">
        <v>3</v>
      </c>
      <c r="I26" s="564">
        <v>13</v>
      </c>
      <c r="J26" s="565"/>
      <c r="K26" s="564">
        <v>2</v>
      </c>
      <c r="L26" s="564">
        <v>4</v>
      </c>
      <c r="M26" s="566">
        <v>1</v>
      </c>
      <c r="N26" s="192">
        <v>9</v>
      </c>
      <c r="O26" s="564">
        <v>2</v>
      </c>
      <c r="P26" s="567">
        <v>6</v>
      </c>
    </row>
    <row r="27" spans="1:16" ht="15" customHeight="1">
      <c r="A27" s="1356"/>
      <c r="B27" s="1350"/>
      <c r="C27" s="1351"/>
      <c r="D27" s="531">
        <f t="shared" si="2"/>
        <v>4</v>
      </c>
      <c r="E27" s="531"/>
      <c r="F27" s="531"/>
      <c r="G27" s="531"/>
      <c r="H27" s="532">
        <v>1</v>
      </c>
      <c r="I27" s="532">
        <v>3</v>
      </c>
      <c r="J27" s="534"/>
      <c r="K27" s="532">
        <v>1</v>
      </c>
      <c r="L27" s="532">
        <v>2</v>
      </c>
      <c r="M27" s="536"/>
      <c r="N27" s="538">
        <v>2</v>
      </c>
      <c r="O27" s="532">
        <v>1</v>
      </c>
      <c r="P27" s="540">
        <v>1</v>
      </c>
    </row>
    <row r="28" spans="1:16" ht="15" customHeight="1">
      <c r="A28" s="1356"/>
      <c r="B28" s="1332" t="s">
        <v>52</v>
      </c>
      <c r="C28" s="1333" t="s">
        <v>24</v>
      </c>
      <c r="D28" s="191">
        <f t="shared" si="2"/>
        <v>16</v>
      </c>
      <c r="E28" s="191"/>
      <c r="F28" s="191">
        <v>1</v>
      </c>
      <c r="G28" s="191">
        <v>2</v>
      </c>
      <c r="H28" s="530">
        <v>4</v>
      </c>
      <c r="I28" s="530">
        <v>9</v>
      </c>
      <c r="J28" s="533"/>
      <c r="K28" s="530">
        <v>1</v>
      </c>
      <c r="L28" s="530"/>
      <c r="M28" s="535">
        <v>3</v>
      </c>
      <c r="N28" s="537">
        <v>13</v>
      </c>
      <c r="O28" s="530">
        <v>3</v>
      </c>
      <c r="P28" s="539">
        <v>4</v>
      </c>
    </row>
    <row r="29" spans="1:16" ht="15" customHeight="1" thickBot="1">
      <c r="A29" s="1356"/>
      <c r="B29" s="1334"/>
      <c r="C29" s="1335"/>
      <c r="D29" s="909">
        <f t="shared" si="2"/>
        <v>3</v>
      </c>
      <c r="E29" s="909"/>
      <c r="F29" s="909"/>
      <c r="G29" s="909"/>
      <c r="H29" s="910">
        <v>1</v>
      </c>
      <c r="I29" s="910">
        <v>2</v>
      </c>
      <c r="J29" s="911"/>
      <c r="K29" s="910"/>
      <c r="L29" s="910"/>
      <c r="M29" s="912"/>
      <c r="N29" s="913"/>
      <c r="O29" s="910"/>
      <c r="P29" s="914">
        <v>1</v>
      </c>
    </row>
    <row r="30" spans="1:16" ht="15" customHeight="1" thickTop="1">
      <c r="A30" s="1356"/>
      <c r="B30" s="1336" t="s">
        <v>20</v>
      </c>
      <c r="C30" s="1337"/>
      <c r="D30" s="563">
        <f t="shared" si="2"/>
        <v>249</v>
      </c>
      <c r="E30" s="563">
        <f aca="true" t="shared" si="5" ref="E30:P31">E18+E20+E22+E24+E26+E28</f>
        <v>2</v>
      </c>
      <c r="F30" s="563">
        <f t="shared" si="5"/>
        <v>10</v>
      </c>
      <c r="G30" s="563">
        <f t="shared" si="5"/>
        <v>19</v>
      </c>
      <c r="H30" s="563">
        <f t="shared" si="5"/>
        <v>46</v>
      </c>
      <c r="I30" s="563">
        <f t="shared" si="5"/>
        <v>172</v>
      </c>
      <c r="J30" s="904">
        <f t="shared" si="5"/>
        <v>3</v>
      </c>
      <c r="K30" s="563">
        <f t="shared" si="5"/>
        <v>3</v>
      </c>
      <c r="L30" s="563">
        <f t="shared" si="5"/>
        <v>33</v>
      </c>
      <c r="M30" s="905">
        <f t="shared" si="5"/>
        <v>46</v>
      </c>
      <c r="N30" s="915">
        <f t="shared" si="5"/>
        <v>82</v>
      </c>
      <c r="O30" s="907">
        <f t="shared" si="5"/>
        <v>13</v>
      </c>
      <c r="P30" s="908">
        <f t="shared" si="5"/>
        <v>56</v>
      </c>
    </row>
    <row r="31" spans="1:16" ht="15" customHeight="1" thickBot="1">
      <c r="A31" s="1357"/>
      <c r="B31" s="1338"/>
      <c r="C31" s="1339"/>
      <c r="D31" s="193">
        <f t="shared" si="2"/>
        <v>80</v>
      </c>
      <c r="E31" s="194">
        <f aca="true" t="shared" si="6" ref="E31:M31">E19+E21+E23+E25+E27+E29</f>
        <v>0</v>
      </c>
      <c r="F31" s="194">
        <f t="shared" si="6"/>
        <v>0</v>
      </c>
      <c r="G31" s="194">
        <f t="shared" si="6"/>
        <v>4</v>
      </c>
      <c r="H31" s="198">
        <f t="shared" si="6"/>
        <v>6</v>
      </c>
      <c r="I31" s="198">
        <f t="shared" si="6"/>
        <v>70</v>
      </c>
      <c r="J31" s="199">
        <f t="shared" si="6"/>
        <v>0</v>
      </c>
      <c r="K31" s="198">
        <f t="shared" si="6"/>
        <v>1</v>
      </c>
      <c r="L31" s="198">
        <f t="shared" si="6"/>
        <v>21</v>
      </c>
      <c r="M31" s="200">
        <f t="shared" si="6"/>
        <v>25</v>
      </c>
      <c r="N31" s="258">
        <f t="shared" si="5"/>
        <v>4</v>
      </c>
      <c r="O31" s="259">
        <f t="shared" si="5"/>
        <v>1</v>
      </c>
      <c r="P31" s="260">
        <f t="shared" si="5"/>
        <v>6</v>
      </c>
    </row>
    <row r="32" spans="1:16" ht="15" customHeight="1">
      <c r="A32" s="1352" t="s">
        <v>8</v>
      </c>
      <c r="B32" s="1348" t="s">
        <v>25</v>
      </c>
      <c r="C32" s="1349"/>
      <c r="D32" s="563">
        <f t="shared" si="2"/>
        <v>3</v>
      </c>
      <c r="E32" s="563"/>
      <c r="F32" s="563">
        <v>1</v>
      </c>
      <c r="G32" s="563">
        <v>1</v>
      </c>
      <c r="H32" s="564"/>
      <c r="I32" s="564">
        <v>1</v>
      </c>
      <c r="J32" s="565"/>
      <c r="K32" s="564"/>
      <c r="L32" s="564"/>
      <c r="M32" s="566"/>
      <c r="N32" s="192">
        <v>12</v>
      </c>
      <c r="O32" s="564">
        <v>1</v>
      </c>
      <c r="P32" s="567">
        <v>3</v>
      </c>
    </row>
    <row r="33" spans="1:16" ht="15" customHeight="1">
      <c r="A33" s="1353"/>
      <c r="B33" s="1350"/>
      <c r="C33" s="1351"/>
      <c r="D33" s="531">
        <f t="shared" si="2"/>
        <v>0</v>
      </c>
      <c r="E33" s="531"/>
      <c r="F33" s="531"/>
      <c r="G33" s="531"/>
      <c r="H33" s="532"/>
      <c r="I33" s="532"/>
      <c r="J33" s="534"/>
      <c r="K33" s="532"/>
      <c r="L33" s="532"/>
      <c r="M33" s="536"/>
      <c r="N33" s="538">
        <v>1</v>
      </c>
      <c r="O33" s="532">
        <v>1</v>
      </c>
      <c r="P33" s="540"/>
    </row>
    <row r="34" spans="1:16" ht="15" customHeight="1">
      <c r="A34" s="1353"/>
      <c r="B34" s="1332" t="s">
        <v>26</v>
      </c>
      <c r="C34" s="1333"/>
      <c r="D34" s="191">
        <f t="shared" si="2"/>
        <v>14</v>
      </c>
      <c r="E34" s="191">
        <v>1</v>
      </c>
      <c r="F34" s="191">
        <v>2</v>
      </c>
      <c r="G34" s="191">
        <v>3</v>
      </c>
      <c r="H34" s="530">
        <v>3</v>
      </c>
      <c r="I34" s="530">
        <v>5</v>
      </c>
      <c r="J34" s="533"/>
      <c r="K34" s="530"/>
      <c r="L34" s="530">
        <v>4</v>
      </c>
      <c r="M34" s="535"/>
      <c r="N34" s="537">
        <v>37</v>
      </c>
      <c r="O34" s="530">
        <v>1</v>
      </c>
      <c r="P34" s="539">
        <v>10</v>
      </c>
    </row>
    <row r="35" spans="1:16" ht="15" customHeight="1">
      <c r="A35" s="1353"/>
      <c r="B35" s="1350"/>
      <c r="C35" s="1351"/>
      <c r="D35" s="531">
        <f t="shared" si="2"/>
        <v>2</v>
      </c>
      <c r="E35" s="531"/>
      <c r="F35" s="531"/>
      <c r="G35" s="531"/>
      <c r="H35" s="532"/>
      <c r="I35" s="532">
        <v>2</v>
      </c>
      <c r="J35" s="534"/>
      <c r="K35" s="532"/>
      <c r="L35" s="532">
        <v>2</v>
      </c>
      <c r="M35" s="536"/>
      <c r="N35" s="538"/>
      <c r="O35" s="532"/>
      <c r="P35" s="540"/>
    </row>
    <row r="36" spans="1:16" ht="15" customHeight="1">
      <c r="A36" s="1353"/>
      <c r="B36" s="1332" t="s">
        <v>43</v>
      </c>
      <c r="C36" s="1333"/>
      <c r="D36" s="191">
        <f t="shared" si="2"/>
        <v>41</v>
      </c>
      <c r="E36" s="191">
        <v>1</v>
      </c>
      <c r="F36" s="191">
        <v>6</v>
      </c>
      <c r="G36" s="191">
        <v>6</v>
      </c>
      <c r="H36" s="530">
        <v>8</v>
      </c>
      <c r="I36" s="530">
        <v>20</v>
      </c>
      <c r="J36" s="533"/>
      <c r="K36" s="530">
        <v>5</v>
      </c>
      <c r="L36" s="530">
        <v>4</v>
      </c>
      <c r="M36" s="535">
        <v>1</v>
      </c>
      <c r="N36" s="537">
        <v>30</v>
      </c>
      <c r="O36" s="530">
        <v>1</v>
      </c>
      <c r="P36" s="539">
        <v>11</v>
      </c>
    </row>
    <row r="37" spans="1:16" ht="15" customHeight="1">
      <c r="A37" s="1353"/>
      <c r="B37" s="1350"/>
      <c r="C37" s="1351"/>
      <c r="D37" s="531">
        <f t="shared" si="2"/>
        <v>7</v>
      </c>
      <c r="E37" s="531"/>
      <c r="F37" s="531">
        <v>1</v>
      </c>
      <c r="G37" s="531"/>
      <c r="H37" s="532">
        <v>1</v>
      </c>
      <c r="I37" s="532">
        <v>5</v>
      </c>
      <c r="J37" s="534"/>
      <c r="K37" s="532"/>
      <c r="L37" s="532">
        <v>3</v>
      </c>
      <c r="M37" s="536"/>
      <c r="N37" s="538"/>
      <c r="O37" s="532"/>
      <c r="P37" s="540"/>
    </row>
    <row r="38" spans="1:16" ht="15" customHeight="1">
      <c r="A38" s="1353"/>
      <c r="B38" s="1332" t="s">
        <v>44</v>
      </c>
      <c r="C38" s="1333"/>
      <c r="D38" s="191">
        <f t="shared" si="2"/>
        <v>29</v>
      </c>
      <c r="E38" s="563"/>
      <c r="F38" s="563">
        <v>1</v>
      </c>
      <c r="G38" s="563">
        <v>6</v>
      </c>
      <c r="H38" s="564">
        <v>8</v>
      </c>
      <c r="I38" s="564">
        <v>14</v>
      </c>
      <c r="J38" s="565"/>
      <c r="K38" s="564">
        <v>2</v>
      </c>
      <c r="L38" s="564">
        <v>8</v>
      </c>
      <c r="M38" s="566"/>
      <c r="N38" s="192">
        <v>16</v>
      </c>
      <c r="O38" s="564">
        <v>1</v>
      </c>
      <c r="P38" s="567">
        <v>3</v>
      </c>
    </row>
    <row r="39" spans="1:16" ht="15" customHeight="1">
      <c r="A39" s="1353"/>
      <c r="B39" s="1350"/>
      <c r="C39" s="1351"/>
      <c r="D39" s="531">
        <f t="shared" si="2"/>
        <v>12</v>
      </c>
      <c r="E39" s="531"/>
      <c r="F39" s="531"/>
      <c r="G39" s="531"/>
      <c r="H39" s="532">
        <v>3</v>
      </c>
      <c r="I39" s="532">
        <v>9</v>
      </c>
      <c r="J39" s="534"/>
      <c r="K39" s="532">
        <v>1</v>
      </c>
      <c r="L39" s="532">
        <v>7</v>
      </c>
      <c r="M39" s="536"/>
      <c r="N39" s="538">
        <v>3</v>
      </c>
      <c r="O39" s="532"/>
      <c r="P39" s="540">
        <v>1</v>
      </c>
    </row>
    <row r="40" spans="1:16" ht="15" customHeight="1">
      <c r="A40" s="1353"/>
      <c r="B40" s="1332" t="s">
        <v>53</v>
      </c>
      <c r="C40" s="1333"/>
      <c r="D40" s="191">
        <f t="shared" si="2"/>
        <v>19</v>
      </c>
      <c r="E40" s="191"/>
      <c r="F40" s="191">
        <v>1</v>
      </c>
      <c r="G40" s="191">
        <v>5</v>
      </c>
      <c r="H40" s="530">
        <v>4</v>
      </c>
      <c r="I40" s="530">
        <v>9</v>
      </c>
      <c r="J40" s="533"/>
      <c r="K40" s="530">
        <v>1</v>
      </c>
      <c r="L40" s="530">
        <v>4</v>
      </c>
      <c r="M40" s="535"/>
      <c r="N40" s="537">
        <v>6</v>
      </c>
      <c r="O40" s="530">
        <v>1</v>
      </c>
      <c r="P40" s="539">
        <v>3</v>
      </c>
    </row>
    <row r="41" spans="1:16" ht="15" customHeight="1">
      <c r="A41" s="1353"/>
      <c r="B41" s="1340"/>
      <c r="C41" s="1341"/>
      <c r="D41" s="531">
        <f t="shared" si="2"/>
        <v>8</v>
      </c>
      <c r="E41" s="531"/>
      <c r="F41" s="531"/>
      <c r="G41" s="531">
        <v>1</v>
      </c>
      <c r="H41" s="532">
        <v>1</v>
      </c>
      <c r="I41" s="532">
        <v>6</v>
      </c>
      <c r="J41" s="534"/>
      <c r="K41" s="532"/>
      <c r="L41" s="532">
        <v>3</v>
      </c>
      <c r="M41" s="536"/>
      <c r="N41" s="538"/>
      <c r="O41" s="532"/>
      <c r="P41" s="540"/>
    </row>
    <row r="42" spans="1:16" ht="15" customHeight="1">
      <c r="A42" s="1353"/>
      <c r="B42" s="1332" t="s">
        <v>27</v>
      </c>
      <c r="C42" s="1333"/>
      <c r="D42" s="191">
        <f t="shared" si="2"/>
        <v>38</v>
      </c>
      <c r="E42" s="563">
        <v>1</v>
      </c>
      <c r="F42" s="563">
        <v>3</v>
      </c>
      <c r="G42" s="563">
        <v>4</v>
      </c>
      <c r="H42" s="564">
        <v>19</v>
      </c>
      <c r="I42" s="564">
        <v>11</v>
      </c>
      <c r="J42" s="565"/>
      <c r="K42" s="564"/>
      <c r="L42" s="564">
        <v>7</v>
      </c>
      <c r="M42" s="566"/>
      <c r="N42" s="192">
        <v>12</v>
      </c>
      <c r="O42" s="564"/>
      <c r="P42" s="567">
        <v>11</v>
      </c>
    </row>
    <row r="43" spans="1:16" ht="15" customHeight="1">
      <c r="A43" s="1353"/>
      <c r="B43" s="1350"/>
      <c r="C43" s="1351"/>
      <c r="D43" s="531">
        <f t="shared" si="2"/>
        <v>13</v>
      </c>
      <c r="E43" s="531"/>
      <c r="F43" s="531"/>
      <c r="G43" s="531"/>
      <c r="H43" s="532">
        <v>5</v>
      </c>
      <c r="I43" s="532">
        <v>8</v>
      </c>
      <c r="J43" s="534"/>
      <c r="K43" s="532"/>
      <c r="L43" s="532">
        <v>7</v>
      </c>
      <c r="M43" s="536"/>
      <c r="N43" s="538"/>
      <c r="O43" s="532"/>
      <c r="P43" s="540"/>
    </row>
    <row r="44" spans="1:16" ht="15" customHeight="1">
      <c r="A44" s="1353"/>
      <c r="B44" s="1332" t="s">
        <v>54</v>
      </c>
      <c r="C44" s="1333"/>
      <c r="D44" s="191">
        <f t="shared" si="2"/>
        <v>8</v>
      </c>
      <c r="E44" s="191"/>
      <c r="F44" s="191">
        <v>1</v>
      </c>
      <c r="G44" s="191">
        <v>1</v>
      </c>
      <c r="H44" s="530">
        <v>1</v>
      </c>
      <c r="I44" s="530">
        <v>5</v>
      </c>
      <c r="J44" s="533"/>
      <c r="K44" s="530"/>
      <c r="L44" s="530"/>
      <c r="M44" s="535"/>
      <c r="N44" s="537">
        <v>2</v>
      </c>
      <c r="O44" s="530"/>
      <c r="P44" s="539"/>
    </row>
    <row r="45" spans="1:16" ht="15" customHeight="1">
      <c r="A45" s="1353"/>
      <c r="B45" s="1350"/>
      <c r="C45" s="1351"/>
      <c r="D45" s="531">
        <f t="shared" si="2"/>
        <v>0</v>
      </c>
      <c r="E45" s="531"/>
      <c r="F45" s="531"/>
      <c r="G45" s="531"/>
      <c r="H45" s="532"/>
      <c r="I45" s="532"/>
      <c r="J45" s="534"/>
      <c r="K45" s="532"/>
      <c r="L45" s="532"/>
      <c r="M45" s="536"/>
      <c r="N45" s="538"/>
      <c r="O45" s="532"/>
      <c r="P45" s="540"/>
    </row>
    <row r="46" spans="1:16" ht="15" customHeight="1">
      <c r="A46" s="1353"/>
      <c r="B46" s="1332" t="s">
        <v>45</v>
      </c>
      <c r="C46" s="1333"/>
      <c r="D46" s="191">
        <f t="shared" si="2"/>
        <v>14</v>
      </c>
      <c r="E46" s="191"/>
      <c r="F46" s="191">
        <v>1</v>
      </c>
      <c r="G46" s="191">
        <v>1</v>
      </c>
      <c r="H46" s="530">
        <v>1</v>
      </c>
      <c r="I46" s="530">
        <v>11</v>
      </c>
      <c r="J46" s="533"/>
      <c r="K46" s="530"/>
      <c r="L46" s="530">
        <v>4</v>
      </c>
      <c r="M46" s="535">
        <v>3</v>
      </c>
      <c r="N46" s="537">
        <v>7</v>
      </c>
      <c r="O46" s="530">
        <v>1</v>
      </c>
      <c r="P46" s="539">
        <v>3</v>
      </c>
    </row>
    <row r="47" spans="1:16" ht="15" customHeight="1">
      <c r="A47" s="1353"/>
      <c r="B47" s="1350"/>
      <c r="C47" s="1351"/>
      <c r="D47" s="531">
        <f t="shared" si="2"/>
        <v>7</v>
      </c>
      <c r="E47" s="531"/>
      <c r="F47" s="531"/>
      <c r="G47" s="531">
        <v>1</v>
      </c>
      <c r="H47" s="532"/>
      <c r="I47" s="532">
        <v>6</v>
      </c>
      <c r="J47" s="534"/>
      <c r="K47" s="532"/>
      <c r="L47" s="532">
        <v>3</v>
      </c>
      <c r="M47" s="536">
        <v>3</v>
      </c>
      <c r="N47" s="538"/>
      <c r="O47" s="532"/>
      <c r="P47" s="540"/>
    </row>
    <row r="48" spans="1:16" ht="15" customHeight="1">
      <c r="A48" s="1353"/>
      <c r="B48" s="1332" t="s">
        <v>46</v>
      </c>
      <c r="C48" s="1333"/>
      <c r="D48" s="191">
        <f t="shared" si="2"/>
        <v>14</v>
      </c>
      <c r="E48" s="191"/>
      <c r="F48" s="191">
        <v>2</v>
      </c>
      <c r="G48" s="191">
        <v>6</v>
      </c>
      <c r="H48" s="530">
        <v>4</v>
      </c>
      <c r="I48" s="530">
        <v>2</v>
      </c>
      <c r="J48" s="533"/>
      <c r="K48" s="530"/>
      <c r="L48" s="530">
        <v>1</v>
      </c>
      <c r="M48" s="535"/>
      <c r="N48" s="537">
        <v>11</v>
      </c>
      <c r="O48" s="530">
        <v>1</v>
      </c>
      <c r="P48" s="539">
        <v>2</v>
      </c>
    </row>
    <row r="49" spans="1:16" ht="15" customHeight="1" thickBot="1">
      <c r="A49" s="1353"/>
      <c r="B49" s="1334"/>
      <c r="C49" s="1335"/>
      <c r="D49" s="909">
        <f t="shared" si="2"/>
        <v>2</v>
      </c>
      <c r="E49" s="909"/>
      <c r="F49" s="909"/>
      <c r="G49" s="909"/>
      <c r="H49" s="910">
        <v>1</v>
      </c>
      <c r="I49" s="910">
        <v>1</v>
      </c>
      <c r="J49" s="911"/>
      <c r="K49" s="910"/>
      <c r="L49" s="910">
        <v>1</v>
      </c>
      <c r="M49" s="912"/>
      <c r="N49" s="913">
        <v>1</v>
      </c>
      <c r="O49" s="910"/>
      <c r="P49" s="914"/>
    </row>
    <row r="50" spans="1:16" ht="15" customHeight="1" thickTop="1">
      <c r="A50" s="1353"/>
      <c r="B50" s="1336" t="s">
        <v>20</v>
      </c>
      <c r="C50" s="1337"/>
      <c r="D50" s="563">
        <f t="shared" si="2"/>
        <v>180</v>
      </c>
      <c r="E50" s="563">
        <f aca="true" t="shared" si="7" ref="E50:P51">E32+E34+E36+E38+E40+E42+E44+E46+E48</f>
        <v>3</v>
      </c>
      <c r="F50" s="563">
        <f t="shared" si="7"/>
        <v>18</v>
      </c>
      <c r="G50" s="563">
        <f t="shared" si="7"/>
        <v>33</v>
      </c>
      <c r="H50" s="563">
        <f t="shared" si="7"/>
        <v>48</v>
      </c>
      <c r="I50" s="563">
        <f t="shared" si="7"/>
        <v>78</v>
      </c>
      <c r="J50" s="904">
        <f t="shared" si="7"/>
        <v>0</v>
      </c>
      <c r="K50" s="563">
        <f t="shared" si="7"/>
        <v>8</v>
      </c>
      <c r="L50" s="563">
        <f t="shared" si="7"/>
        <v>32</v>
      </c>
      <c r="M50" s="905">
        <f t="shared" si="7"/>
        <v>4</v>
      </c>
      <c r="N50" s="916">
        <f t="shared" si="7"/>
        <v>133</v>
      </c>
      <c r="O50" s="907">
        <f t="shared" si="7"/>
        <v>7</v>
      </c>
      <c r="P50" s="908">
        <f t="shared" si="7"/>
        <v>46</v>
      </c>
    </row>
    <row r="51" spans="1:16" ht="15" customHeight="1" thickBot="1">
      <c r="A51" s="1354"/>
      <c r="B51" s="1338"/>
      <c r="C51" s="1339"/>
      <c r="D51" s="193">
        <f t="shared" si="2"/>
        <v>51</v>
      </c>
      <c r="E51" s="194">
        <f aca="true" t="shared" si="8" ref="E51:M51">E33+E35+E37+E39+E41+E43+E45+E47+E49</f>
        <v>0</v>
      </c>
      <c r="F51" s="194">
        <f t="shared" si="8"/>
        <v>1</v>
      </c>
      <c r="G51" s="194">
        <f t="shared" si="8"/>
        <v>2</v>
      </c>
      <c r="H51" s="194">
        <f t="shared" si="8"/>
        <v>11</v>
      </c>
      <c r="I51" s="194">
        <f t="shared" si="8"/>
        <v>37</v>
      </c>
      <c r="J51" s="195">
        <f t="shared" si="8"/>
        <v>0</v>
      </c>
      <c r="K51" s="194">
        <f t="shared" si="8"/>
        <v>1</v>
      </c>
      <c r="L51" s="194">
        <f t="shared" si="8"/>
        <v>26</v>
      </c>
      <c r="M51" s="196">
        <f t="shared" si="8"/>
        <v>3</v>
      </c>
      <c r="N51" s="261">
        <f t="shared" si="7"/>
        <v>5</v>
      </c>
      <c r="O51" s="256">
        <f t="shared" si="7"/>
        <v>1</v>
      </c>
      <c r="P51" s="257">
        <f t="shared" si="7"/>
        <v>1</v>
      </c>
    </row>
    <row r="52" spans="1:16" ht="13.5">
      <c r="A52" s="32"/>
      <c r="B52" s="32"/>
      <c r="C52" s="32"/>
      <c r="D52" s="32"/>
      <c r="E52" s="30" t="s">
        <v>738</v>
      </c>
      <c r="F52" s="32"/>
      <c r="G52" s="32"/>
      <c r="H52" s="32"/>
      <c r="I52" s="32"/>
      <c r="J52" s="32"/>
      <c r="K52" s="32"/>
      <c r="L52" s="32"/>
      <c r="M52" s="32"/>
      <c r="N52" s="29"/>
      <c r="O52" s="29"/>
      <c r="P52" s="40"/>
    </row>
    <row r="53" ht="13.5">
      <c r="E53" s="30" t="s">
        <v>739</v>
      </c>
    </row>
  </sheetData>
  <sheetProtection/>
  <mergeCells count="39">
    <mergeCell ref="A6:A17"/>
    <mergeCell ref="B8:C9"/>
    <mergeCell ref="B10:C11"/>
    <mergeCell ref="B18:C19"/>
    <mergeCell ref="A18:A31"/>
    <mergeCell ref="B26:C27"/>
    <mergeCell ref="B14:C15"/>
    <mergeCell ref="B16:C17"/>
    <mergeCell ref="B12:C13"/>
    <mergeCell ref="B32:C33"/>
    <mergeCell ref="B34:C35"/>
    <mergeCell ref="B36:C37"/>
    <mergeCell ref="A32:A51"/>
    <mergeCell ref="B48:C49"/>
    <mergeCell ref="B50:C51"/>
    <mergeCell ref="B42:C43"/>
    <mergeCell ref="B44:C45"/>
    <mergeCell ref="B46:C47"/>
    <mergeCell ref="B38:C39"/>
    <mergeCell ref="N1:P1"/>
    <mergeCell ref="N2:O2"/>
    <mergeCell ref="B28:C29"/>
    <mergeCell ref="B30:C31"/>
    <mergeCell ref="B40:C41"/>
    <mergeCell ref="A4:C5"/>
    <mergeCell ref="B6:C7"/>
    <mergeCell ref="B20:C21"/>
    <mergeCell ref="B22:C23"/>
    <mergeCell ref="B24:C25"/>
    <mergeCell ref="I2:I3"/>
    <mergeCell ref="J2:K2"/>
    <mergeCell ref="L2:M2"/>
    <mergeCell ref="J1:M1"/>
    <mergeCell ref="A1:C3"/>
    <mergeCell ref="D1:D3"/>
    <mergeCell ref="E2:E3"/>
    <mergeCell ref="F2:F3"/>
    <mergeCell ref="G2:G3"/>
    <mergeCell ref="H2:H3"/>
  </mergeCells>
  <printOptions/>
  <pageMargins left="0.7086614173228347" right="0.1968503937007874" top="1.062992125984252" bottom="0.1968503937007874" header="0.7874015748031497" footer="0.3937007874015748"/>
  <pageSetup firstPageNumber="5" useFirstPageNumber="1" horizontalDpi="600" verticalDpi="600" orientation="portrait" paperSize="9" scale="93" r:id="rId1"/>
  <headerFooter scaleWithDoc="0" alignWithMargins="0">
    <oddHeader>&amp;L&amp;"ＭＳ Ｐゴシック,太字"２　市町社会教育関係職員</oddHeader>
    <oddFooter>&amp;C&amp;12&amp;P</oddFooter>
  </headerFooter>
  <ignoredErrors>
    <ignoredError sqref="D6 D8 D9:D13 D14:D15 D18:D19 D20:D21 D22:D23 D24:D27 D28:D29 D32:D4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SheetLayoutView="100" zoomScalePageLayoutView="0" workbookViewId="0" topLeftCell="A1">
      <selection activeCell="T32" sqref="T32"/>
    </sheetView>
  </sheetViews>
  <sheetFormatPr defaultColWidth="9.00390625" defaultRowHeight="12.75" customHeight="1"/>
  <cols>
    <col min="1" max="1" width="3.50390625" style="1" customWidth="1"/>
    <col min="2" max="2" width="4.125" style="1" customWidth="1"/>
    <col min="3" max="3" width="10.75390625" style="1" customWidth="1"/>
    <col min="4" max="4" width="17.125" style="1" customWidth="1"/>
    <col min="5" max="6" width="11.375" style="1" customWidth="1"/>
    <col min="7" max="7" width="10.625" style="1" customWidth="1"/>
    <col min="8" max="8" width="8.25390625" style="14" customWidth="1"/>
    <col min="9" max="9" width="9.75390625" style="14" customWidth="1"/>
    <col min="10" max="10" width="11.375" style="1" customWidth="1"/>
    <col min="11" max="11" width="26.375" style="1" customWidth="1"/>
    <col min="12" max="12" width="12.75390625" style="1" customWidth="1"/>
    <col min="13" max="14" width="10.50390625" style="1" customWidth="1"/>
    <col min="15" max="15" width="10.50390625" style="15" customWidth="1"/>
    <col min="16" max="16" width="9.625" style="1" customWidth="1"/>
    <col min="17" max="17" width="0.875" style="1" customWidth="1"/>
    <col min="18" max="16384" width="9.00390625" style="1" customWidth="1"/>
  </cols>
  <sheetData>
    <row r="1" spans="1:18" ht="24.75" customHeight="1">
      <c r="A1" s="1358" t="s">
        <v>13</v>
      </c>
      <c r="B1" s="1359"/>
      <c r="C1" s="1360"/>
      <c r="D1" s="1377" t="s">
        <v>16</v>
      </c>
      <c r="E1" s="1290" t="s">
        <v>732</v>
      </c>
      <c r="F1" s="1291"/>
      <c r="G1" s="1382" t="s">
        <v>60</v>
      </c>
      <c r="H1" s="1383"/>
      <c r="I1" s="1373"/>
      <c r="J1" s="1364" t="s">
        <v>0</v>
      </c>
      <c r="K1" s="1375" t="s">
        <v>32</v>
      </c>
      <c r="L1" s="1373" t="s">
        <v>882</v>
      </c>
      <c r="M1" s="1366" t="s">
        <v>33</v>
      </c>
      <c r="N1" s="1367"/>
      <c r="O1" s="1368"/>
      <c r="P1" s="1364" t="s">
        <v>34</v>
      </c>
      <c r="Q1" s="4"/>
      <c r="R1" s="5"/>
    </row>
    <row r="2" spans="1:18" ht="24.75" customHeight="1" thickBot="1">
      <c r="A2" s="1361"/>
      <c r="B2" s="1362"/>
      <c r="C2" s="1363"/>
      <c r="D2" s="1378"/>
      <c r="E2" s="19" t="s">
        <v>35</v>
      </c>
      <c r="F2" s="19" t="s">
        <v>36</v>
      </c>
      <c r="G2" s="226" t="s">
        <v>37</v>
      </c>
      <c r="H2" s="1384" t="s">
        <v>38</v>
      </c>
      <c r="I2" s="1385"/>
      <c r="J2" s="1365"/>
      <c r="K2" s="1376"/>
      <c r="L2" s="1374"/>
      <c r="M2" s="19" t="s">
        <v>61</v>
      </c>
      <c r="N2" s="20" t="s">
        <v>62</v>
      </c>
      <c r="O2" s="21" t="s">
        <v>63</v>
      </c>
      <c r="P2" s="1365"/>
      <c r="Q2" s="4"/>
      <c r="R2" s="5"/>
    </row>
    <row r="3" spans="1:18" s="6" customFormat="1" ht="30" customHeight="1" thickBot="1">
      <c r="A3" s="1379" t="s">
        <v>31</v>
      </c>
      <c r="B3" s="1380"/>
      <c r="C3" s="1381"/>
      <c r="D3" s="22">
        <f aca="true" t="shared" si="0" ref="D3:I3">D9+D16+D26</f>
        <v>20</v>
      </c>
      <c r="E3" s="33">
        <f t="shared" si="0"/>
        <v>114</v>
      </c>
      <c r="F3" s="33">
        <f t="shared" si="0"/>
        <v>127</v>
      </c>
      <c r="G3" s="33">
        <f t="shared" si="0"/>
        <v>292</v>
      </c>
      <c r="H3" s="24">
        <f t="shared" si="0"/>
        <v>241</v>
      </c>
      <c r="I3" s="34">
        <f t="shared" si="0"/>
        <v>74</v>
      </c>
      <c r="J3" s="1141"/>
      <c r="K3" s="1145"/>
      <c r="L3" s="25">
        <f>L9+L16+L26</f>
        <v>36</v>
      </c>
      <c r="M3" s="25"/>
      <c r="N3" s="26"/>
      <c r="O3" s="27"/>
      <c r="P3" s="28"/>
      <c r="Q3" s="8"/>
      <c r="R3" s="9"/>
    </row>
    <row r="4" spans="1:18" ht="30" customHeight="1">
      <c r="A4" s="1393" t="s">
        <v>10</v>
      </c>
      <c r="B4" s="1369" t="s">
        <v>18</v>
      </c>
      <c r="C4" s="1370"/>
      <c r="D4" s="585" t="s">
        <v>825</v>
      </c>
      <c r="E4" s="586">
        <v>4</v>
      </c>
      <c r="F4" s="586">
        <v>11</v>
      </c>
      <c r="G4" s="587">
        <v>15</v>
      </c>
      <c r="H4" s="917">
        <f>E4+F4</f>
        <v>15</v>
      </c>
      <c r="I4" s="588">
        <v>3</v>
      </c>
      <c r="J4" s="1142">
        <v>2</v>
      </c>
      <c r="K4" s="1146" t="s">
        <v>890</v>
      </c>
      <c r="L4" s="586">
        <v>1</v>
      </c>
      <c r="M4" s="586"/>
      <c r="N4" s="589"/>
      <c r="O4" s="589"/>
      <c r="P4" s="590" t="s">
        <v>829</v>
      </c>
      <c r="Q4" s="4"/>
      <c r="R4" s="5"/>
    </row>
    <row r="5" spans="1:18" ht="30" customHeight="1">
      <c r="A5" s="1395"/>
      <c r="B5" s="1371" t="s">
        <v>19</v>
      </c>
      <c r="C5" s="1372"/>
      <c r="D5" s="541" t="s">
        <v>833</v>
      </c>
      <c r="E5" s="542">
        <v>5</v>
      </c>
      <c r="F5" s="542">
        <v>7</v>
      </c>
      <c r="G5" s="543">
        <v>12</v>
      </c>
      <c r="H5" s="570">
        <f>E5+F5</f>
        <v>12</v>
      </c>
      <c r="I5" s="545">
        <v>6</v>
      </c>
      <c r="J5" s="1143">
        <v>2</v>
      </c>
      <c r="K5" s="1147" t="s">
        <v>886</v>
      </c>
      <c r="L5" s="542">
        <v>2</v>
      </c>
      <c r="M5" s="542">
        <v>7000</v>
      </c>
      <c r="N5" s="546"/>
      <c r="O5" s="546"/>
      <c r="P5" s="547"/>
      <c r="Q5" s="4"/>
      <c r="R5" s="5"/>
    </row>
    <row r="6" spans="1:18" ht="30" customHeight="1">
      <c r="A6" s="1395"/>
      <c r="B6" s="1371" t="s">
        <v>39</v>
      </c>
      <c r="C6" s="1372"/>
      <c r="D6" s="568" t="s">
        <v>833</v>
      </c>
      <c r="E6" s="542">
        <v>1</v>
      </c>
      <c r="F6" s="542">
        <v>12</v>
      </c>
      <c r="G6" s="543">
        <v>15</v>
      </c>
      <c r="H6" s="570">
        <f>E6+F6</f>
        <v>13</v>
      </c>
      <c r="I6" s="545">
        <v>4</v>
      </c>
      <c r="J6" s="1143">
        <v>2</v>
      </c>
      <c r="K6" s="1147" t="s">
        <v>886</v>
      </c>
      <c r="L6" s="542">
        <v>1</v>
      </c>
      <c r="M6" s="542"/>
      <c r="N6" s="546"/>
      <c r="O6" s="546">
        <v>19100</v>
      </c>
      <c r="P6" s="547"/>
      <c r="Q6" s="4"/>
      <c r="R6" s="5"/>
    </row>
    <row r="7" spans="1:18" ht="30" customHeight="1">
      <c r="A7" s="1395"/>
      <c r="B7" s="1386" t="s">
        <v>21</v>
      </c>
      <c r="C7" s="1387"/>
      <c r="D7" s="568" t="s">
        <v>823</v>
      </c>
      <c r="E7" s="569"/>
      <c r="F7" s="569"/>
      <c r="G7" s="543">
        <v>20</v>
      </c>
      <c r="H7" s="570"/>
      <c r="I7" s="545"/>
      <c r="J7" s="1144">
        <v>2</v>
      </c>
      <c r="K7" s="1147"/>
      <c r="L7" s="569"/>
      <c r="M7" s="569"/>
      <c r="N7" s="571"/>
      <c r="O7" s="571"/>
      <c r="P7" s="572"/>
      <c r="Q7" s="4"/>
      <c r="R7" s="5"/>
    </row>
    <row r="8" spans="1:21" ht="30" customHeight="1" thickBot="1">
      <c r="A8" s="1395"/>
      <c r="B8" s="1389" t="s">
        <v>40</v>
      </c>
      <c r="C8" s="1390"/>
      <c r="D8" s="1155" t="s">
        <v>835</v>
      </c>
      <c r="E8" s="1019">
        <v>9</v>
      </c>
      <c r="F8" s="1019"/>
      <c r="G8" s="1156">
        <v>10</v>
      </c>
      <c r="H8" s="1157">
        <f>E8+F8</f>
        <v>9</v>
      </c>
      <c r="I8" s="1158">
        <v>5</v>
      </c>
      <c r="J8" s="1021">
        <v>2</v>
      </c>
      <c r="K8" s="1159" t="s">
        <v>887</v>
      </c>
      <c r="L8" s="1019"/>
      <c r="M8" s="1160">
        <v>7800</v>
      </c>
      <c r="N8" s="1161"/>
      <c r="O8" s="1161"/>
      <c r="P8" s="1162"/>
      <c r="Q8" s="4"/>
      <c r="R8" s="5"/>
      <c r="U8" s="201"/>
    </row>
    <row r="9" spans="1:18" ht="30" customHeight="1" thickBot="1" thickTop="1">
      <c r="A9" s="1396"/>
      <c r="B9" s="1391" t="s">
        <v>20</v>
      </c>
      <c r="C9" s="1392"/>
      <c r="D9" s="1148">
        <f>COUNTIF(D4:D8,"○")</f>
        <v>5</v>
      </c>
      <c r="E9" s="1149">
        <f>SUM(E4:E8)</f>
        <v>19</v>
      </c>
      <c r="F9" s="1149">
        <f>SUM(F4:F8)</f>
        <v>30</v>
      </c>
      <c r="G9" s="1149">
        <f>SUM(G4:G8)</f>
        <v>72</v>
      </c>
      <c r="H9" s="1150">
        <f>SUM(H4:H8)</f>
        <v>49</v>
      </c>
      <c r="I9" s="1151">
        <f>SUM(I4:I8)</f>
        <v>18</v>
      </c>
      <c r="J9" s="1152"/>
      <c r="K9" s="1153"/>
      <c r="L9" s="1149">
        <f>SUM(L4:L8)</f>
        <v>4</v>
      </c>
      <c r="M9" s="1149"/>
      <c r="N9" s="1149"/>
      <c r="O9" s="1149"/>
      <c r="P9" s="1154"/>
      <c r="Q9" s="4"/>
      <c r="R9" s="5"/>
    </row>
    <row r="10" spans="1:18" ht="30" customHeight="1">
      <c r="A10" s="1393" t="s">
        <v>12</v>
      </c>
      <c r="B10" s="1386" t="s">
        <v>22</v>
      </c>
      <c r="C10" s="1387"/>
      <c r="D10" s="541" t="s">
        <v>825</v>
      </c>
      <c r="E10" s="542">
        <v>2</v>
      </c>
      <c r="F10" s="542">
        <v>16</v>
      </c>
      <c r="G10" s="543">
        <v>20</v>
      </c>
      <c r="H10" s="544">
        <f aca="true" t="shared" si="1" ref="H10:H15">E10+F10</f>
        <v>18</v>
      </c>
      <c r="I10" s="545">
        <v>7</v>
      </c>
      <c r="J10" s="1143">
        <v>2</v>
      </c>
      <c r="K10" s="1147" t="s">
        <v>883</v>
      </c>
      <c r="L10" s="542">
        <v>3</v>
      </c>
      <c r="M10" s="542">
        <v>8300</v>
      </c>
      <c r="N10" s="546"/>
      <c r="O10" s="546"/>
      <c r="P10" s="547"/>
      <c r="Q10" s="4"/>
      <c r="R10" s="5"/>
    </row>
    <row r="11" spans="1:18" ht="30" customHeight="1">
      <c r="A11" s="1356"/>
      <c r="B11" s="1371" t="s">
        <v>23</v>
      </c>
      <c r="C11" s="1372"/>
      <c r="D11" s="568" t="s">
        <v>836</v>
      </c>
      <c r="E11" s="558">
        <v>1</v>
      </c>
      <c r="F11" s="558">
        <v>9</v>
      </c>
      <c r="G11" s="601">
        <v>10</v>
      </c>
      <c r="H11" s="602">
        <f t="shared" si="1"/>
        <v>10</v>
      </c>
      <c r="I11" s="603">
        <v>2</v>
      </c>
      <c r="J11" s="561">
        <v>2</v>
      </c>
      <c r="K11" s="1147" t="s">
        <v>885</v>
      </c>
      <c r="L11" s="558">
        <v>2</v>
      </c>
      <c r="M11" s="558">
        <v>5700</v>
      </c>
      <c r="N11" s="546"/>
      <c r="O11" s="546"/>
      <c r="P11" s="547"/>
      <c r="Q11" s="4"/>
      <c r="R11" s="5"/>
    </row>
    <row r="12" spans="1:18" ht="30" customHeight="1">
      <c r="A12" s="1394"/>
      <c r="B12" s="1371" t="s">
        <v>41</v>
      </c>
      <c r="C12" s="1372"/>
      <c r="D12" s="541" t="s">
        <v>836</v>
      </c>
      <c r="E12" s="542">
        <v>14</v>
      </c>
      <c r="F12" s="542"/>
      <c r="G12" s="543">
        <v>15</v>
      </c>
      <c r="H12" s="544">
        <f t="shared" si="1"/>
        <v>14</v>
      </c>
      <c r="I12" s="545">
        <v>3</v>
      </c>
      <c r="J12" s="1143">
        <v>2</v>
      </c>
      <c r="K12" s="1147" t="s">
        <v>886</v>
      </c>
      <c r="L12" s="542">
        <v>2</v>
      </c>
      <c r="M12" s="542"/>
      <c r="N12" s="546"/>
      <c r="O12" s="546">
        <v>24000</v>
      </c>
      <c r="P12" s="547"/>
      <c r="Q12" s="4"/>
      <c r="R12" s="5"/>
    </row>
    <row r="13" spans="1:18" ht="30" customHeight="1">
      <c r="A13" s="1356"/>
      <c r="B13" s="1371" t="s">
        <v>42</v>
      </c>
      <c r="C13" s="1372"/>
      <c r="D13" s="541" t="s">
        <v>836</v>
      </c>
      <c r="E13" s="542"/>
      <c r="F13" s="542">
        <v>11</v>
      </c>
      <c r="G13" s="543">
        <v>25</v>
      </c>
      <c r="H13" s="544">
        <f t="shared" si="1"/>
        <v>11</v>
      </c>
      <c r="I13" s="545">
        <v>4</v>
      </c>
      <c r="J13" s="1143">
        <v>2</v>
      </c>
      <c r="K13" s="1147" t="s">
        <v>886</v>
      </c>
      <c r="L13" s="542">
        <v>1</v>
      </c>
      <c r="M13" s="542">
        <v>6600</v>
      </c>
      <c r="N13" s="546"/>
      <c r="O13" s="546"/>
      <c r="P13" s="547"/>
      <c r="Q13" s="4"/>
      <c r="R13" s="5"/>
    </row>
    <row r="14" spans="1:18" ht="30" customHeight="1">
      <c r="A14" s="1356"/>
      <c r="B14" s="1371" t="s">
        <v>51</v>
      </c>
      <c r="C14" s="1372" t="s">
        <v>24</v>
      </c>
      <c r="D14" s="541" t="s">
        <v>836</v>
      </c>
      <c r="E14" s="558">
        <v>9</v>
      </c>
      <c r="F14" s="558"/>
      <c r="G14" s="649">
        <v>10</v>
      </c>
      <c r="H14" s="602">
        <f t="shared" si="1"/>
        <v>9</v>
      </c>
      <c r="I14" s="603">
        <v>2</v>
      </c>
      <c r="J14" s="561">
        <v>2</v>
      </c>
      <c r="K14" s="1147" t="s">
        <v>886</v>
      </c>
      <c r="L14" s="558">
        <v>3</v>
      </c>
      <c r="M14" s="558"/>
      <c r="N14" s="546"/>
      <c r="O14" s="546">
        <v>35600</v>
      </c>
      <c r="P14" s="547"/>
      <c r="Q14" s="4"/>
      <c r="R14" s="5"/>
    </row>
    <row r="15" spans="1:18" ht="30" customHeight="1" thickBot="1">
      <c r="A15" s="1356"/>
      <c r="B15" s="1389" t="s">
        <v>52</v>
      </c>
      <c r="C15" s="1390" t="s">
        <v>24</v>
      </c>
      <c r="D15" s="1155" t="s">
        <v>819</v>
      </c>
      <c r="E15" s="1019">
        <v>10</v>
      </c>
      <c r="F15" s="1019"/>
      <c r="G15" s="1156">
        <v>10</v>
      </c>
      <c r="H15" s="1164">
        <f t="shared" si="1"/>
        <v>10</v>
      </c>
      <c r="I15" s="1158">
        <v>2</v>
      </c>
      <c r="J15" s="1021">
        <v>2</v>
      </c>
      <c r="K15" s="1159" t="s">
        <v>888</v>
      </c>
      <c r="L15" s="1019">
        <v>3</v>
      </c>
      <c r="M15" s="1019"/>
      <c r="N15" s="1161"/>
      <c r="O15" s="1161">
        <v>30000</v>
      </c>
      <c r="P15" s="1162"/>
      <c r="Q15" s="4"/>
      <c r="R15" s="5"/>
    </row>
    <row r="16" spans="1:18" ht="30" customHeight="1" thickBot="1" thickTop="1">
      <c r="A16" s="1357"/>
      <c r="B16" s="1391" t="s">
        <v>20</v>
      </c>
      <c r="C16" s="1392"/>
      <c r="D16" s="1148">
        <f>COUNTIF(D10:D15,"○")</f>
        <v>6</v>
      </c>
      <c r="E16" s="1149">
        <f>SUM(E10:E15)</f>
        <v>36</v>
      </c>
      <c r="F16" s="1149">
        <f>SUM(F10:F15)</f>
        <v>36</v>
      </c>
      <c r="G16" s="1149">
        <f>SUM(G10:G15)</f>
        <v>90</v>
      </c>
      <c r="H16" s="1163">
        <f>SUM(H10:H15)</f>
        <v>72</v>
      </c>
      <c r="I16" s="1151">
        <f>SUM(I10:I15)</f>
        <v>20</v>
      </c>
      <c r="J16" s="1152"/>
      <c r="K16" s="1153"/>
      <c r="L16" s="1149">
        <f>SUM(L10:L15)</f>
        <v>14</v>
      </c>
      <c r="M16" s="1149"/>
      <c r="N16" s="1149"/>
      <c r="O16" s="1149"/>
      <c r="P16" s="1154"/>
      <c r="Q16" s="4"/>
      <c r="R16" s="5"/>
    </row>
    <row r="17" spans="1:18" ht="30" customHeight="1">
      <c r="A17" s="1393" t="s">
        <v>8</v>
      </c>
      <c r="B17" s="1386" t="s">
        <v>25</v>
      </c>
      <c r="C17" s="1387"/>
      <c r="D17" s="585" t="s">
        <v>819</v>
      </c>
      <c r="E17" s="558">
        <v>7</v>
      </c>
      <c r="F17" s="558">
        <v>8</v>
      </c>
      <c r="G17" s="601">
        <v>15</v>
      </c>
      <c r="H17" s="602">
        <f aca="true" t="shared" si="2" ref="H17:H25">E17+F17</f>
        <v>15</v>
      </c>
      <c r="I17" s="603">
        <v>3</v>
      </c>
      <c r="J17" s="561">
        <v>2</v>
      </c>
      <c r="K17" s="1147" t="s">
        <v>891</v>
      </c>
      <c r="L17" s="558">
        <v>3</v>
      </c>
      <c r="M17" s="558">
        <v>7200</v>
      </c>
      <c r="N17" s="546"/>
      <c r="O17" s="546"/>
      <c r="P17" s="547"/>
      <c r="Q17" s="4"/>
      <c r="R17" s="5"/>
    </row>
    <row r="18" spans="1:18" ht="30" customHeight="1">
      <c r="A18" s="1395"/>
      <c r="B18" s="1371" t="s">
        <v>26</v>
      </c>
      <c r="C18" s="1388"/>
      <c r="D18" s="541" t="s">
        <v>836</v>
      </c>
      <c r="E18" s="542">
        <v>8</v>
      </c>
      <c r="F18" s="542">
        <v>7</v>
      </c>
      <c r="G18" s="543">
        <v>15</v>
      </c>
      <c r="H18" s="544">
        <f t="shared" si="2"/>
        <v>15</v>
      </c>
      <c r="I18" s="545">
        <v>6</v>
      </c>
      <c r="J18" s="1143">
        <v>2</v>
      </c>
      <c r="K18" s="1147" t="s">
        <v>884</v>
      </c>
      <c r="L18" s="542">
        <v>2</v>
      </c>
      <c r="M18" s="542">
        <v>7800</v>
      </c>
      <c r="N18" s="546"/>
      <c r="O18" s="546"/>
      <c r="P18" s="547"/>
      <c r="Q18" s="4"/>
      <c r="R18" s="5"/>
    </row>
    <row r="19" spans="1:18" ht="30" customHeight="1">
      <c r="A19" s="1395"/>
      <c r="B19" s="1371" t="s">
        <v>43</v>
      </c>
      <c r="C19" s="1372"/>
      <c r="D19" s="541" t="s">
        <v>836</v>
      </c>
      <c r="E19" s="542">
        <v>3</v>
      </c>
      <c r="F19" s="542">
        <v>17</v>
      </c>
      <c r="G19" s="543">
        <v>25</v>
      </c>
      <c r="H19" s="544">
        <f t="shared" si="2"/>
        <v>20</v>
      </c>
      <c r="I19" s="545">
        <v>7</v>
      </c>
      <c r="J19" s="1143">
        <v>2</v>
      </c>
      <c r="K19" s="1147" t="s">
        <v>886</v>
      </c>
      <c r="L19" s="542">
        <v>2</v>
      </c>
      <c r="M19" s="542"/>
      <c r="N19" s="546"/>
      <c r="O19" s="546">
        <v>19800</v>
      </c>
      <c r="P19" s="547"/>
      <c r="Q19" s="4"/>
      <c r="R19" s="5"/>
    </row>
    <row r="20" spans="1:18" ht="30" customHeight="1">
      <c r="A20" s="1395"/>
      <c r="B20" s="1371" t="s">
        <v>44</v>
      </c>
      <c r="C20" s="1372"/>
      <c r="D20" s="541" t="s">
        <v>819</v>
      </c>
      <c r="E20" s="542">
        <v>11</v>
      </c>
      <c r="F20" s="542">
        <v>4</v>
      </c>
      <c r="G20" s="543">
        <v>15</v>
      </c>
      <c r="H20" s="544">
        <f t="shared" si="2"/>
        <v>15</v>
      </c>
      <c r="I20" s="545">
        <v>4</v>
      </c>
      <c r="J20" s="1143">
        <v>2</v>
      </c>
      <c r="K20" s="1147" t="s">
        <v>889</v>
      </c>
      <c r="L20" s="542">
        <v>3</v>
      </c>
      <c r="M20" s="542"/>
      <c r="N20" s="546"/>
      <c r="O20" s="546">
        <v>16900</v>
      </c>
      <c r="P20" s="547"/>
      <c r="Q20" s="4"/>
      <c r="R20" s="5"/>
    </row>
    <row r="21" spans="1:18" ht="30" customHeight="1">
      <c r="A21" s="1395"/>
      <c r="B21" s="1371" t="s">
        <v>53</v>
      </c>
      <c r="C21" s="1372"/>
      <c r="D21" s="541" t="s">
        <v>836</v>
      </c>
      <c r="E21" s="542">
        <v>2</v>
      </c>
      <c r="F21" s="542">
        <v>8</v>
      </c>
      <c r="G21" s="543">
        <v>10</v>
      </c>
      <c r="H21" s="544">
        <f t="shared" si="2"/>
        <v>10</v>
      </c>
      <c r="I21" s="545">
        <v>5</v>
      </c>
      <c r="J21" s="1143">
        <v>2</v>
      </c>
      <c r="K21" s="1147" t="s">
        <v>889</v>
      </c>
      <c r="L21" s="542">
        <v>3</v>
      </c>
      <c r="M21" s="542"/>
      <c r="N21" s="546"/>
      <c r="O21" s="546">
        <v>20000</v>
      </c>
      <c r="P21" s="547"/>
      <c r="Q21" s="4"/>
      <c r="R21" s="5"/>
    </row>
    <row r="22" spans="1:18" ht="30" customHeight="1">
      <c r="A22" s="1395"/>
      <c r="B22" s="1386" t="s">
        <v>27</v>
      </c>
      <c r="C22" s="1387"/>
      <c r="D22" s="541" t="s">
        <v>844</v>
      </c>
      <c r="E22" s="542">
        <v>17</v>
      </c>
      <c r="F22" s="542"/>
      <c r="G22" s="543">
        <v>20</v>
      </c>
      <c r="H22" s="544">
        <f t="shared" si="2"/>
        <v>17</v>
      </c>
      <c r="I22" s="545">
        <v>4</v>
      </c>
      <c r="J22" s="1143">
        <v>2</v>
      </c>
      <c r="K22" s="1147" t="s">
        <v>886</v>
      </c>
      <c r="L22" s="542"/>
      <c r="M22" s="542"/>
      <c r="N22" s="546"/>
      <c r="O22" s="546">
        <v>15000</v>
      </c>
      <c r="P22" s="547"/>
      <c r="Q22" s="4"/>
      <c r="R22" s="5"/>
    </row>
    <row r="23" spans="1:18" ht="30" customHeight="1">
      <c r="A23" s="1395"/>
      <c r="B23" s="1371" t="s">
        <v>54</v>
      </c>
      <c r="C23" s="1372"/>
      <c r="D23" s="541" t="s">
        <v>823</v>
      </c>
      <c r="E23" s="542"/>
      <c r="F23" s="542">
        <v>8</v>
      </c>
      <c r="G23" s="543">
        <v>10</v>
      </c>
      <c r="H23" s="544">
        <f t="shared" si="2"/>
        <v>8</v>
      </c>
      <c r="I23" s="545">
        <v>1</v>
      </c>
      <c r="J23" s="1143">
        <v>2</v>
      </c>
      <c r="K23" s="1147" t="s">
        <v>889</v>
      </c>
      <c r="L23" s="542"/>
      <c r="M23" s="542"/>
      <c r="N23" s="546"/>
      <c r="O23" s="546">
        <v>6600</v>
      </c>
      <c r="P23" s="547"/>
      <c r="Q23" s="4"/>
      <c r="R23" s="5"/>
    </row>
    <row r="24" spans="1:18" ht="30" customHeight="1">
      <c r="A24" s="1395"/>
      <c r="B24" s="1371" t="s">
        <v>45</v>
      </c>
      <c r="C24" s="1372"/>
      <c r="D24" s="541" t="s">
        <v>825</v>
      </c>
      <c r="E24" s="542">
        <v>10</v>
      </c>
      <c r="F24" s="542"/>
      <c r="G24" s="543">
        <v>10</v>
      </c>
      <c r="H24" s="544">
        <f t="shared" si="2"/>
        <v>10</v>
      </c>
      <c r="I24" s="545">
        <v>2</v>
      </c>
      <c r="J24" s="1143">
        <v>2</v>
      </c>
      <c r="K24" s="1147" t="s">
        <v>889</v>
      </c>
      <c r="L24" s="542">
        <v>2</v>
      </c>
      <c r="M24" s="542"/>
      <c r="N24" s="546"/>
      <c r="O24" s="546">
        <v>15000</v>
      </c>
      <c r="P24" s="547"/>
      <c r="Q24" s="4"/>
      <c r="R24" s="5"/>
    </row>
    <row r="25" spans="1:18" ht="30" customHeight="1" thickBot="1">
      <c r="A25" s="1395"/>
      <c r="B25" s="1389" t="s">
        <v>46</v>
      </c>
      <c r="C25" s="1390"/>
      <c r="D25" s="1155" t="s">
        <v>836</v>
      </c>
      <c r="E25" s="1165">
        <v>1</v>
      </c>
      <c r="F25" s="1165">
        <v>9</v>
      </c>
      <c r="G25" s="1166">
        <v>10</v>
      </c>
      <c r="H25" s="1167">
        <f t="shared" si="2"/>
        <v>10</v>
      </c>
      <c r="I25" s="1168">
        <v>4</v>
      </c>
      <c r="J25" s="1169">
        <v>2</v>
      </c>
      <c r="K25" s="1159" t="s">
        <v>886</v>
      </c>
      <c r="L25" s="1165">
        <v>3</v>
      </c>
      <c r="M25" s="1165">
        <v>7000</v>
      </c>
      <c r="N25" s="1161"/>
      <c r="O25" s="1161"/>
      <c r="P25" s="1162"/>
      <c r="Q25" s="4"/>
      <c r="R25" s="5"/>
    </row>
    <row r="26" spans="1:18" ht="30" customHeight="1" thickBot="1" thickTop="1">
      <c r="A26" s="1396"/>
      <c r="B26" s="1391" t="s">
        <v>20</v>
      </c>
      <c r="C26" s="1392"/>
      <c r="D26" s="1148">
        <f>COUNTIF(D17:D25,"○")</f>
        <v>9</v>
      </c>
      <c r="E26" s="1149">
        <f>SUM(E17:E25)</f>
        <v>59</v>
      </c>
      <c r="F26" s="1149">
        <f>SUM(F17:F25)</f>
        <v>61</v>
      </c>
      <c r="G26" s="1149">
        <f>SUM(G17:G25)</f>
        <v>130</v>
      </c>
      <c r="H26" s="1150">
        <f>SUM(H17:H25)</f>
        <v>120</v>
      </c>
      <c r="I26" s="1151">
        <f>SUM(I17:I25)</f>
        <v>36</v>
      </c>
      <c r="J26" s="1152"/>
      <c r="K26" s="1153"/>
      <c r="L26" s="1149">
        <f>SUM(L17:L25)</f>
        <v>18</v>
      </c>
      <c r="M26" s="1149"/>
      <c r="N26" s="1149"/>
      <c r="O26" s="1149"/>
      <c r="P26" s="1154"/>
      <c r="Q26" s="4"/>
      <c r="R26" s="5"/>
    </row>
    <row r="27" spans="2:17" ht="13.5" customHeight="1">
      <c r="B27" s="147"/>
      <c r="C27" s="147"/>
      <c r="D27" s="16" t="s">
        <v>6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2"/>
    </row>
    <row r="28" ht="12.75" customHeight="1">
      <c r="B28" s="11"/>
    </row>
  </sheetData>
  <sheetProtection/>
  <mergeCells count="37">
    <mergeCell ref="B21:C21"/>
    <mergeCell ref="B16:C16"/>
    <mergeCell ref="A4:A9"/>
    <mergeCell ref="A17:A26"/>
    <mergeCell ref="B22:C22"/>
    <mergeCell ref="B23:C23"/>
    <mergeCell ref="B24:C24"/>
    <mergeCell ref="B25:C25"/>
    <mergeCell ref="B26:C26"/>
    <mergeCell ref="B19:C19"/>
    <mergeCell ref="B20:C20"/>
    <mergeCell ref="B10:C10"/>
    <mergeCell ref="B11:C11"/>
    <mergeCell ref="B12:C12"/>
    <mergeCell ref="B13:C13"/>
    <mergeCell ref="B14:C14"/>
    <mergeCell ref="B15:C15"/>
    <mergeCell ref="A3:C3"/>
    <mergeCell ref="G1:I1"/>
    <mergeCell ref="H2:I2"/>
    <mergeCell ref="B17:C17"/>
    <mergeCell ref="B18:C18"/>
    <mergeCell ref="B7:C7"/>
    <mergeCell ref="B8:C8"/>
    <mergeCell ref="B9:C9"/>
    <mergeCell ref="B6:C6"/>
    <mergeCell ref="A10:A16"/>
    <mergeCell ref="A1:C2"/>
    <mergeCell ref="P1:P2"/>
    <mergeCell ref="M1:O1"/>
    <mergeCell ref="B4:C4"/>
    <mergeCell ref="B5:C5"/>
    <mergeCell ref="J1:J2"/>
    <mergeCell ref="L1:L2"/>
    <mergeCell ref="K1:K2"/>
    <mergeCell ref="E1:F1"/>
    <mergeCell ref="D1:D2"/>
  </mergeCells>
  <printOptions/>
  <pageMargins left="0.7086614173228347" right="0.1968503937007874" top="1.062992125984252" bottom="0.1968503937007874" header="0.7874015748031497" footer="0.3937007874015748"/>
  <pageSetup firstPageNumber="6" useFirstPageNumber="1" horizontalDpi="600" verticalDpi="600" orientation="portrait" pageOrder="overThenDown" paperSize="9" scale="92" r:id="rId1"/>
  <headerFooter scaleWithDoc="0" alignWithMargins="0">
    <oddHeader>&amp;L&amp;"ＭＳ Ｐゴシック,太字"３　市町社会教育委員</oddHeader>
    <oddFooter>&amp;C&amp;12&amp;P</oddFooter>
  </headerFooter>
  <ignoredErrors>
    <ignoredError sqref="D3:I3 E16:I16 H26:I26" unlockedFormula="1"/>
    <ignoredError sqref="E26:F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178"/>
  <sheetViews>
    <sheetView showZeros="0" view="pageBreakPreview" zoomScale="130" zoomScaleNormal="130" zoomScaleSheetLayoutView="130" zoomScalePageLayoutView="0" workbookViewId="0" topLeftCell="A1">
      <selection activeCell="N6" sqref="N6"/>
    </sheetView>
  </sheetViews>
  <sheetFormatPr defaultColWidth="9.00390625" defaultRowHeight="13.5"/>
  <cols>
    <col min="1" max="1" width="3.125" style="42" customWidth="1"/>
    <col min="2" max="2" width="2.875" style="42" customWidth="1"/>
    <col min="3" max="5" width="4.125" style="42" customWidth="1"/>
    <col min="6" max="6" width="13.25390625" style="42" customWidth="1"/>
    <col min="7" max="8" width="4.125" style="42" customWidth="1"/>
    <col min="9" max="9" width="10.625" style="42" customWidth="1"/>
    <col min="10" max="11" width="4.125" style="42" customWidth="1"/>
    <col min="12" max="12" width="10.625" style="42" customWidth="1"/>
    <col min="13" max="15" width="4.125" style="42" customWidth="1"/>
    <col min="16" max="16" width="4.50390625" style="42" customWidth="1"/>
    <col min="17" max="17" width="4.375" style="42" customWidth="1"/>
    <col min="18" max="18" width="6.00390625" style="42" customWidth="1"/>
    <col min="19" max="16384" width="9.00390625" style="42" customWidth="1"/>
  </cols>
  <sheetData>
    <row r="1" spans="1:18" ht="14.25" thickBot="1">
      <c r="A1" s="1413" t="s">
        <v>892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  <c r="N1" s="1413"/>
      <c r="O1" s="1413"/>
      <c r="P1" s="1413"/>
      <c r="Q1" s="1413"/>
      <c r="R1" s="1413"/>
    </row>
    <row r="2" spans="1:18" ht="37.5" customHeight="1">
      <c r="A2" s="1414" t="s">
        <v>866</v>
      </c>
      <c r="B2" s="1415"/>
      <c r="C2" s="1418" t="s">
        <v>74</v>
      </c>
      <c r="D2" s="1419"/>
      <c r="E2" s="1420"/>
      <c r="F2" s="1421" t="s">
        <v>75</v>
      </c>
      <c r="G2" s="1422"/>
      <c r="H2" s="1423"/>
      <c r="I2" s="1421" t="s">
        <v>76</v>
      </c>
      <c r="J2" s="1422"/>
      <c r="K2" s="1423"/>
      <c r="L2" s="1421" t="s">
        <v>77</v>
      </c>
      <c r="M2" s="1422"/>
      <c r="N2" s="1424"/>
      <c r="O2" s="1453" t="s">
        <v>78</v>
      </c>
      <c r="P2" s="1422"/>
      <c r="Q2" s="1422"/>
      <c r="R2" s="1454"/>
    </row>
    <row r="3" spans="1:18" ht="37.5" customHeight="1" thickBot="1">
      <c r="A3" s="1416"/>
      <c r="B3" s="1417"/>
      <c r="C3" s="262" t="s">
        <v>79</v>
      </c>
      <c r="D3" s="263" t="s">
        <v>80</v>
      </c>
      <c r="E3" s="263" t="s">
        <v>81</v>
      </c>
      <c r="F3" s="264" t="s">
        <v>82</v>
      </c>
      <c r="G3" s="264" t="s">
        <v>83</v>
      </c>
      <c r="H3" s="264" t="s">
        <v>84</v>
      </c>
      <c r="I3" s="265" t="s">
        <v>82</v>
      </c>
      <c r="J3" s="265" t="s">
        <v>85</v>
      </c>
      <c r="K3" s="266" t="s">
        <v>86</v>
      </c>
      <c r="L3" s="265" t="s">
        <v>87</v>
      </c>
      <c r="M3" s="265" t="s">
        <v>83</v>
      </c>
      <c r="N3" s="267" t="s">
        <v>88</v>
      </c>
      <c r="O3" s="268" t="s">
        <v>89</v>
      </c>
      <c r="P3" s="269" t="s">
        <v>90</v>
      </c>
      <c r="Q3" s="269" t="s">
        <v>55</v>
      </c>
      <c r="R3" s="270" t="s">
        <v>91</v>
      </c>
    </row>
    <row r="4" spans="1:18" ht="60" customHeight="1">
      <c r="A4" s="1425" t="s">
        <v>92</v>
      </c>
      <c r="B4" s="1434" t="s">
        <v>93</v>
      </c>
      <c r="C4" s="1437" t="s">
        <v>894</v>
      </c>
      <c r="D4" s="1438"/>
      <c r="E4" s="1439"/>
      <c r="F4" s="1446" t="s">
        <v>895</v>
      </c>
      <c r="G4" s="1447" t="s">
        <v>896</v>
      </c>
      <c r="H4" s="1447" t="s">
        <v>897</v>
      </c>
      <c r="I4" s="593" t="s">
        <v>94</v>
      </c>
      <c r="J4" s="491">
        <v>37</v>
      </c>
      <c r="K4" s="491">
        <v>149</v>
      </c>
      <c r="L4" s="1446" t="s">
        <v>898</v>
      </c>
      <c r="M4" s="1447" t="s">
        <v>899</v>
      </c>
      <c r="N4" s="1459" t="s">
        <v>900</v>
      </c>
      <c r="O4" s="1465"/>
      <c r="P4" s="1455">
        <v>1088</v>
      </c>
      <c r="Q4" s="1455">
        <v>2697</v>
      </c>
      <c r="R4" s="1462">
        <f>SUM(P4:Q4)</f>
        <v>3785</v>
      </c>
    </row>
    <row r="5" spans="1:18" ht="60" customHeight="1">
      <c r="A5" s="1426"/>
      <c r="B5" s="1435"/>
      <c r="C5" s="1440"/>
      <c r="D5" s="1441"/>
      <c r="E5" s="1442"/>
      <c r="F5" s="1409"/>
      <c r="G5" s="1402"/>
      <c r="H5" s="1402"/>
      <c r="I5" s="492" t="s">
        <v>95</v>
      </c>
      <c r="J5" s="493">
        <v>3</v>
      </c>
      <c r="K5" s="493">
        <v>7</v>
      </c>
      <c r="L5" s="1409"/>
      <c r="M5" s="1402"/>
      <c r="N5" s="1460"/>
      <c r="O5" s="1466"/>
      <c r="P5" s="1456"/>
      <c r="Q5" s="1456"/>
      <c r="R5" s="1463"/>
    </row>
    <row r="6" spans="1:18" ht="60" customHeight="1">
      <c r="A6" s="1426"/>
      <c r="B6" s="1435"/>
      <c r="C6" s="1443"/>
      <c r="D6" s="1444"/>
      <c r="E6" s="1445"/>
      <c r="F6" s="1409"/>
      <c r="G6" s="1403"/>
      <c r="H6" s="1403"/>
      <c r="I6" s="494" t="s">
        <v>701</v>
      </c>
      <c r="J6" s="495">
        <v>2</v>
      </c>
      <c r="K6" s="495">
        <v>4</v>
      </c>
      <c r="L6" s="1458"/>
      <c r="M6" s="1403"/>
      <c r="N6" s="1461"/>
      <c r="O6" s="1466"/>
      <c r="P6" s="1456"/>
      <c r="Q6" s="1456"/>
      <c r="R6" s="1463"/>
    </row>
    <row r="7" spans="1:18" ht="21.75" customHeight="1">
      <c r="A7" s="1426"/>
      <c r="B7" s="1436"/>
      <c r="C7" s="591">
        <v>156</v>
      </c>
      <c r="D7" s="592">
        <v>216</v>
      </c>
      <c r="E7" s="592"/>
      <c r="F7" s="496" t="s">
        <v>96</v>
      </c>
      <c r="G7" s="852">
        <f>36+15+10+15+44+15+20+15+15+5+1+6+5+10+1+5</f>
        <v>218</v>
      </c>
      <c r="H7" s="853">
        <f>292+15+40+29+243+27+79+42+187+46+26+117+70+64+12+4</f>
        <v>1293</v>
      </c>
      <c r="I7" s="496" t="s">
        <v>96</v>
      </c>
      <c r="J7" s="497">
        <f>37+3+2</f>
        <v>42</v>
      </c>
      <c r="K7" s="497">
        <f>149+7+4</f>
        <v>160</v>
      </c>
      <c r="L7" s="496" t="s">
        <v>96</v>
      </c>
      <c r="M7" s="852">
        <f>12+1+1+4+1+27</f>
        <v>46</v>
      </c>
      <c r="N7" s="853">
        <f>300+28+78+142+3500+63</f>
        <v>4111</v>
      </c>
      <c r="O7" s="1467"/>
      <c r="P7" s="1457"/>
      <c r="Q7" s="1457"/>
      <c r="R7" s="1464"/>
    </row>
    <row r="8" spans="1:18" ht="10.5" customHeight="1">
      <c r="A8" s="1426"/>
      <c r="B8" s="1476" t="s">
        <v>97</v>
      </c>
      <c r="C8" s="1477"/>
      <c r="D8" s="1478"/>
      <c r="E8" s="1479"/>
      <c r="F8" s="1486"/>
      <c r="G8" s="1449"/>
      <c r="H8" s="1449"/>
      <c r="I8" s="499" t="s">
        <v>94</v>
      </c>
      <c r="J8" s="500"/>
      <c r="K8" s="500"/>
      <c r="L8" s="1449"/>
      <c r="M8" s="1449"/>
      <c r="N8" s="1450"/>
      <c r="O8" s="1468"/>
      <c r="P8" s="1428"/>
      <c r="Q8" s="1428"/>
      <c r="R8" s="1473"/>
    </row>
    <row r="9" spans="1:18" ht="21" customHeight="1">
      <c r="A9" s="1426"/>
      <c r="B9" s="1435"/>
      <c r="C9" s="1480"/>
      <c r="D9" s="1481"/>
      <c r="E9" s="1482"/>
      <c r="F9" s="1397"/>
      <c r="G9" s="1399"/>
      <c r="H9" s="1399"/>
      <c r="I9" s="492" t="s">
        <v>98</v>
      </c>
      <c r="J9" s="493"/>
      <c r="K9" s="493"/>
      <c r="L9" s="1399"/>
      <c r="M9" s="1399"/>
      <c r="N9" s="1451"/>
      <c r="O9" s="1469"/>
      <c r="P9" s="1429"/>
      <c r="Q9" s="1429"/>
      <c r="R9" s="1474"/>
    </row>
    <row r="10" spans="1:18" ht="10.5" customHeight="1">
      <c r="A10" s="1426"/>
      <c r="B10" s="1435"/>
      <c r="C10" s="1483"/>
      <c r="D10" s="1484"/>
      <c r="E10" s="1485"/>
      <c r="F10" s="1397"/>
      <c r="G10" s="1399"/>
      <c r="H10" s="1399"/>
      <c r="I10" s="494" t="s">
        <v>703</v>
      </c>
      <c r="J10" s="495"/>
      <c r="K10" s="495"/>
      <c r="L10" s="1399"/>
      <c r="M10" s="1399"/>
      <c r="N10" s="1451"/>
      <c r="O10" s="1469"/>
      <c r="P10" s="1429"/>
      <c r="Q10" s="1429"/>
      <c r="R10" s="1474"/>
    </row>
    <row r="11" spans="1:18" ht="10.5" customHeight="1">
      <c r="A11" s="1426"/>
      <c r="B11" s="1436"/>
      <c r="C11" s="463"/>
      <c r="D11" s="470"/>
      <c r="E11" s="470"/>
      <c r="F11" s="1398"/>
      <c r="G11" s="1400"/>
      <c r="H11" s="1400"/>
      <c r="I11" s="496" t="s">
        <v>99</v>
      </c>
      <c r="J11" s="497"/>
      <c r="K11" s="497"/>
      <c r="L11" s="1400"/>
      <c r="M11" s="1400"/>
      <c r="N11" s="1452"/>
      <c r="O11" s="1470"/>
      <c r="P11" s="1430"/>
      <c r="Q11" s="1430"/>
      <c r="R11" s="1475"/>
    </row>
    <row r="12" spans="1:18" ht="19.5" customHeight="1">
      <c r="A12" s="1426"/>
      <c r="B12" s="1431" t="s">
        <v>39</v>
      </c>
      <c r="C12" s="1487" t="s">
        <v>834</v>
      </c>
      <c r="D12" s="1488"/>
      <c r="E12" s="1489"/>
      <c r="F12" s="1497" t="s">
        <v>913</v>
      </c>
      <c r="G12" s="1401" t="s">
        <v>914</v>
      </c>
      <c r="H12" s="1401" t="s">
        <v>915</v>
      </c>
      <c r="I12" s="499" t="s">
        <v>94</v>
      </c>
      <c r="J12" s="501"/>
      <c r="K12" s="501"/>
      <c r="L12" s="1490" t="s">
        <v>916</v>
      </c>
      <c r="M12" s="1404">
        <v>66</v>
      </c>
      <c r="N12" s="1493">
        <v>658</v>
      </c>
      <c r="O12" s="1496"/>
      <c r="P12" s="1472">
        <v>137</v>
      </c>
      <c r="Q12" s="1472"/>
      <c r="R12" s="1471">
        <f>SUM(O12:Q15)</f>
        <v>137</v>
      </c>
    </row>
    <row r="13" spans="1:18" ht="19.5" customHeight="1">
      <c r="A13" s="1426"/>
      <c r="B13" s="1432"/>
      <c r="C13" s="1440"/>
      <c r="D13" s="1441"/>
      <c r="E13" s="1442"/>
      <c r="F13" s="1498"/>
      <c r="G13" s="1402"/>
      <c r="H13" s="1402"/>
      <c r="I13" s="492" t="s">
        <v>95</v>
      </c>
      <c r="J13" s="493"/>
      <c r="K13" s="493"/>
      <c r="L13" s="1491"/>
      <c r="M13" s="1405"/>
      <c r="N13" s="1494"/>
      <c r="O13" s="1496"/>
      <c r="P13" s="1472"/>
      <c r="Q13" s="1472"/>
      <c r="R13" s="1471"/>
    </row>
    <row r="14" spans="1:18" ht="19.5" customHeight="1">
      <c r="A14" s="1426"/>
      <c r="B14" s="1432"/>
      <c r="C14" s="1443"/>
      <c r="D14" s="1444"/>
      <c r="E14" s="1445"/>
      <c r="F14" s="1499"/>
      <c r="G14" s="1403"/>
      <c r="H14" s="1403"/>
      <c r="I14" s="494" t="s">
        <v>594</v>
      </c>
      <c r="J14" s="495">
        <v>563</v>
      </c>
      <c r="K14" s="495"/>
      <c r="L14" s="1491"/>
      <c r="M14" s="1492"/>
      <c r="N14" s="1495"/>
      <c r="O14" s="1496"/>
      <c r="P14" s="1472"/>
      <c r="Q14" s="1472"/>
      <c r="R14" s="1471"/>
    </row>
    <row r="15" spans="1:18" ht="18.75" customHeight="1">
      <c r="A15" s="1426"/>
      <c r="B15" s="1432"/>
      <c r="C15" s="488">
        <v>127</v>
      </c>
      <c r="D15" s="502">
        <v>172</v>
      </c>
      <c r="E15" s="502">
        <v>0</v>
      </c>
      <c r="F15" s="496" t="s">
        <v>96</v>
      </c>
      <c r="G15" s="852">
        <f>5+6+1+1</f>
        <v>13</v>
      </c>
      <c r="H15" s="853">
        <f>116+74+136+100</f>
        <v>426</v>
      </c>
      <c r="I15" s="503" t="s">
        <v>99</v>
      </c>
      <c r="J15" s="498">
        <f>SUM(J12:J14)</f>
        <v>563</v>
      </c>
      <c r="K15" s="504">
        <f>SUM(K12:K14)</f>
        <v>0</v>
      </c>
      <c r="L15" s="496" t="s">
        <v>96</v>
      </c>
      <c r="M15" s="903">
        <v>66</v>
      </c>
      <c r="N15" s="919">
        <v>658</v>
      </c>
      <c r="O15" s="1496"/>
      <c r="P15" s="1472"/>
      <c r="Q15" s="1472"/>
      <c r="R15" s="1471"/>
    </row>
    <row r="16" spans="1:18" ht="10.5" customHeight="1">
      <c r="A16" s="1426"/>
      <c r="B16" s="1431" t="s">
        <v>100</v>
      </c>
      <c r="C16" s="1487"/>
      <c r="D16" s="1488"/>
      <c r="E16" s="1489"/>
      <c r="F16" s="1486"/>
      <c r="G16" s="1449"/>
      <c r="H16" s="1449"/>
      <c r="I16" s="499" t="s">
        <v>94</v>
      </c>
      <c r="J16" s="500"/>
      <c r="K16" s="500"/>
      <c r="L16" s="1449"/>
      <c r="M16" s="1449"/>
      <c r="N16" s="1450"/>
      <c r="O16" s="1502"/>
      <c r="P16" s="1428"/>
      <c r="Q16" s="1428"/>
      <c r="R16" s="1473"/>
    </row>
    <row r="17" spans="1:18" ht="18.75" customHeight="1">
      <c r="A17" s="1426"/>
      <c r="B17" s="1432"/>
      <c r="C17" s="1440"/>
      <c r="D17" s="1441"/>
      <c r="E17" s="1442"/>
      <c r="F17" s="1397"/>
      <c r="G17" s="1399"/>
      <c r="H17" s="1399"/>
      <c r="I17" s="492" t="s">
        <v>98</v>
      </c>
      <c r="J17" s="493"/>
      <c r="K17" s="493"/>
      <c r="L17" s="1399"/>
      <c r="M17" s="1399"/>
      <c r="N17" s="1451"/>
      <c r="O17" s="1503"/>
      <c r="P17" s="1429"/>
      <c r="Q17" s="1429"/>
      <c r="R17" s="1474"/>
    </row>
    <row r="18" spans="1:18" ht="10.5" customHeight="1">
      <c r="A18" s="1426"/>
      <c r="B18" s="1432"/>
      <c r="C18" s="1443"/>
      <c r="D18" s="1444"/>
      <c r="E18" s="1445"/>
      <c r="F18" s="1397"/>
      <c r="G18" s="1399"/>
      <c r="H18" s="1399"/>
      <c r="I18" s="494" t="s">
        <v>703</v>
      </c>
      <c r="J18" s="495"/>
      <c r="K18" s="495"/>
      <c r="L18" s="1399"/>
      <c r="M18" s="1399"/>
      <c r="N18" s="1451"/>
      <c r="O18" s="1503"/>
      <c r="P18" s="1429"/>
      <c r="Q18" s="1429"/>
      <c r="R18" s="1474"/>
    </row>
    <row r="19" spans="1:18" ht="10.5" customHeight="1">
      <c r="A19" s="1426"/>
      <c r="B19" s="1433"/>
      <c r="C19" s="463"/>
      <c r="D19" s="470"/>
      <c r="E19" s="470"/>
      <c r="F19" s="1398"/>
      <c r="G19" s="1400"/>
      <c r="H19" s="1400"/>
      <c r="I19" s="496" t="s">
        <v>99</v>
      </c>
      <c r="J19" s="497"/>
      <c r="K19" s="497"/>
      <c r="L19" s="1400"/>
      <c r="M19" s="1400"/>
      <c r="N19" s="1452"/>
      <c r="O19" s="1504"/>
      <c r="P19" s="1430"/>
      <c r="Q19" s="1430"/>
      <c r="R19" s="1475"/>
    </row>
    <row r="20" spans="1:18" ht="10.5" customHeight="1">
      <c r="A20" s="1426"/>
      <c r="B20" s="1431" t="s">
        <v>101</v>
      </c>
      <c r="C20" s="1477"/>
      <c r="D20" s="1478"/>
      <c r="E20" s="1479"/>
      <c r="F20" s="1449"/>
      <c r="G20" s="1449"/>
      <c r="H20" s="1449"/>
      <c r="I20" s="499" t="s">
        <v>94</v>
      </c>
      <c r="J20" s="500"/>
      <c r="K20" s="500"/>
      <c r="L20" s="1449"/>
      <c r="M20" s="1449"/>
      <c r="N20" s="1450"/>
      <c r="O20" s="1506"/>
      <c r="P20" s="1428"/>
      <c r="Q20" s="1428"/>
      <c r="R20" s="1473"/>
    </row>
    <row r="21" spans="1:18" ht="18.75" customHeight="1">
      <c r="A21" s="1426"/>
      <c r="B21" s="1432"/>
      <c r="C21" s="1480"/>
      <c r="D21" s="1481"/>
      <c r="E21" s="1482"/>
      <c r="F21" s="1399"/>
      <c r="G21" s="1399"/>
      <c r="H21" s="1399"/>
      <c r="I21" s="492" t="s">
        <v>98</v>
      </c>
      <c r="J21" s="493"/>
      <c r="K21" s="493"/>
      <c r="L21" s="1399"/>
      <c r="M21" s="1399"/>
      <c r="N21" s="1451"/>
      <c r="O21" s="1506"/>
      <c r="P21" s="1429"/>
      <c r="Q21" s="1429"/>
      <c r="R21" s="1474"/>
    </row>
    <row r="22" spans="1:18" ht="10.5" customHeight="1">
      <c r="A22" s="1426"/>
      <c r="B22" s="1432"/>
      <c r="C22" s="1483"/>
      <c r="D22" s="1484"/>
      <c r="E22" s="1485"/>
      <c r="F22" s="1399"/>
      <c r="G22" s="1399"/>
      <c r="H22" s="1399"/>
      <c r="I22" s="505" t="s">
        <v>703</v>
      </c>
      <c r="J22" s="495"/>
      <c r="K22" s="495"/>
      <c r="L22" s="1399"/>
      <c r="M22" s="1399"/>
      <c r="N22" s="1451"/>
      <c r="O22" s="1506"/>
      <c r="P22" s="1429"/>
      <c r="Q22" s="1429"/>
      <c r="R22" s="1474"/>
    </row>
    <row r="23" spans="1:18" ht="10.5" customHeight="1" thickBot="1">
      <c r="A23" s="1427"/>
      <c r="B23" s="1448"/>
      <c r="C23" s="506"/>
      <c r="D23" s="469"/>
      <c r="E23" s="469"/>
      <c r="F23" s="1407"/>
      <c r="G23" s="1407"/>
      <c r="H23" s="1407"/>
      <c r="I23" s="507" t="s">
        <v>99</v>
      </c>
      <c r="J23" s="508"/>
      <c r="K23" s="508"/>
      <c r="L23" s="1407"/>
      <c r="M23" s="1407"/>
      <c r="N23" s="1505"/>
      <c r="O23" s="1507"/>
      <c r="P23" s="1500"/>
      <c r="Q23" s="1500"/>
      <c r="R23" s="1501"/>
    </row>
    <row r="24" spans="1:18" ht="10.5" customHeight="1">
      <c r="A24" s="1425" t="s">
        <v>102</v>
      </c>
      <c r="B24" s="1525" t="s">
        <v>103</v>
      </c>
      <c r="C24" s="1437"/>
      <c r="D24" s="1438"/>
      <c r="E24" s="1439"/>
      <c r="F24" s="1397"/>
      <c r="G24" s="1410"/>
      <c r="H24" s="1410"/>
      <c r="I24" s="499" t="s">
        <v>94</v>
      </c>
      <c r="J24" s="501"/>
      <c r="K24" s="501"/>
      <c r="L24" s="1508"/>
      <c r="M24" s="1410"/>
      <c r="N24" s="1511"/>
      <c r="O24" s="1503"/>
      <c r="P24" s="1429"/>
      <c r="Q24" s="1512"/>
      <c r="R24" s="1474"/>
    </row>
    <row r="25" spans="1:18" ht="16.5" customHeight="1">
      <c r="A25" s="1426"/>
      <c r="B25" s="1432"/>
      <c r="C25" s="1440"/>
      <c r="D25" s="1441"/>
      <c r="E25" s="1442"/>
      <c r="F25" s="1397"/>
      <c r="G25" s="1399"/>
      <c r="H25" s="1399"/>
      <c r="I25" s="492" t="s">
        <v>98</v>
      </c>
      <c r="J25" s="493"/>
      <c r="K25" s="493"/>
      <c r="L25" s="1509"/>
      <c r="M25" s="1399"/>
      <c r="N25" s="1451"/>
      <c r="O25" s="1503"/>
      <c r="P25" s="1429"/>
      <c r="Q25" s="1429"/>
      <c r="R25" s="1474"/>
    </row>
    <row r="26" spans="1:18" ht="10.5" customHeight="1">
      <c r="A26" s="1426"/>
      <c r="B26" s="1432"/>
      <c r="C26" s="1443"/>
      <c r="D26" s="1444"/>
      <c r="E26" s="1445"/>
      <c r="F26" s="1397"/>
      <c r="G26" s="1399"/>
      <c r="H26" s="1399"/>
      <c r="I26" s="494" t="s">
        <v>703</v>
      </c>
      <c r="J26" s="495"/>
      <c r="K26" s="495"/>
      <c r="L26" s="1509"/>
      <c r="M26" s="1399"/>
      <c r="N26" s="1451"/>
      <c r="O26" s="1503"/>
      <c r="P26" s="1429"/>
      <c r="Q26" s="1429"/>
      <c r="R26" s="1474"/>
    </row>
    <row r="27" spans="1:18" ht="10.5" customHeight="1">
      <c r="A27" s="1426"/>
      <c r="B27" s="1433"/>
      <c r="C27" s="463"/>
      <c r="D27" s="470"/>
      <c r="E27" s="470"/>
      <c r="F27" s="1398"/>
      <c r="G27" s="1400"/>
      <c r="H27" s="1400"/>
      <c r="I27" s="496" t="s">
        <v>99</v>
      </c>
      <c r="J27" s="497"/>
      <c r="K27" s="497"/>
      <c r="L27" s="1510"/>
      <c r="M27" s="1400"/>
      <c r="N27" s="1452"/>
      <c r="O27" s="1504"/>
      <c r="P27" s="1430"/>
      <c r="Q27" s="1430"/>
      <c r="R27" s="1475"/>
    </row>
    <row r="28" spans="1:18" ht="10.5" customHeight="1">
      <c r="A28" s="1426"/>
      <c r="B28" s="1431" t="s">
        <v>104</v>
      </c>
      <c r="C28" s="1487"/>
      <c r="D28" s="1488"/>
      <c r="E28" s="1489"/>
      <c r="F28" s="1397"/>
      <c r="G28" s="1449"/>
      <c r="H28" s="1449"/>
      <c r="I28" s="499" t="s">
        <v>94</v>
      </c>
      <c r="J28" s="501"/>
      <c r="K28" s="501"/>
      <c r="L28" s="1449"/>
      <c r="M28" s="1449"/>
      <c r="N28" s="1450"/>
      <c r="O28" s="1502"/>
      <c r="P28" s="1429"/>
      <c r="Q28" s="1429"/>
      <c r="R28" s="1474"/>
    </row>
    <row r="29" spans="1:18" ht="19.5" customHeight="1">
      <c r="A29" s="1426"/>
      <c r="B29" s="1432"/>
      <c r="C29" s="1440"/>
      <c r="D29" s="1441"/>
      <c r="E29" s="1442"/>
      <c r="F29" s="1397"/>
      <c r="G29" s="1399"/>
      <c r="H29" s="1399"/>
      <c r="I29" s="492" t="s">
        <v>98</v>
      </c>
      <c r="J29" s="493"/>
      <c r="K29" s="493"/>
      <c r="L29" s="1399"/>
      <c r="M29" s="1399"/>
      <c r="N29" s="1451"/>
      <c r="O29" s="1503"/>
      <c r="P29" s="1429"/>
      <c r="Q29" s="1429"/>
      <c r="R29" s="1474"/>
    </row>
    <row r="30" spans="1:18" ht="10.5" customHeight="1">
      <c r="A30" s="1426"/>
      <c r="B30" s="1432"/>
      <c r="C30" s="1443"/>
      <c r="D30" s="1444"/>
      <c r="E30" s="1445"/>
      <c r="F30" s="1397"/>
      <c r="G30" s="1399"/>
      <c r="H30" s="1399"/>
      <c r="I30" s="494" t="s">
        <v>701</v>
      </c>
      <c r="J30" s="495"/>
      <c r="K30" s="495"/>
      <c r="L30" s="1399"/>
      <c r="M30" s="1399"/>
      <c r="N30" s="1451"/>
      <c r="O30" s="1503"/>
      <c r="P30" s="1429"/>
      <c r="Q30" s="1429"/>
      <c r="R30" s="1474"/>
    </row>
    <row r="31" spans="1:18" ht="10.5" customHeight="1">
      <c r="A31" s="1426"/>
      <c r="B31" s="1433"/>
      <c r="C31" s="463"/>
      <c r="D31" s="470"/>
      <c r="E31" s="470"/>
      <c r="F31" s="1398"/>
      <c r="G31" s="1400"/>
      <c r="H31" s="1400"/>
      <c r="I31" s="496" t="s">
        <v>96</v>
      </c>
      <c r="J31" s="497"/>
      <c r="K31" s="497"/>
      <c r="L31" s="1400"/>
      <c r="M31" s="1400"/>
      <c r="N31" s="1452"/>
      <c r="O31" s="1504"/>
      <c r="P31" s="1430"/>
      <c r="Q31" s="1430"/>
      <c r="R31" s="1475"/>
    </row>
    <row r="32" spans="1:18" ht="12" customHeight="1">
      <c r="A32" s="1426"/>
      <c r="B32" s="1431" t="s">
        <v>105</v>
      </c>
      <c r="C32" s="1487"/>
      <c r="D32" s="1488"/>
      <c r="E32" s="1489"/>
      <c r="F32" s="1408" t="s">
        <v>788</v>
      </c>
      <c r="G32" s="1401" t="s">
        <v>921</v>
      </c>
      <c r="H32" s="1401" t="s">
        <v>922</v>
      </c>
      <c r="I32" s="499" t="s">
        <v>94</v>
      </c>
      <c r="J32" s="500">
        <v>0</v>
      </c>
      <c r="K32" s="500"/>
      <c r="L32" s="1408" t="s">
        <v>106</v>
      </c>
      <c r="M32" s="1401">
        <v>5</v>
      </c>
      <c r="N32" s="1526">
        <v>332</v>
      </c>
      <c r="O32" s="1506"/>
      <c r="P32" s="1428">
        <v>180</v>
      </c>
      <c r="Q32" s="1428"/>
      <c r="R32" s="1473">
        <f>SUM(P32:Q32)</f>
        <v>180</v>
      </c>
    </row>
    <row r="33" spans="1:18" ht="18" customHeight="1">
      <c r="A33" s="1426"/>
      <c r="B33" s="1432"/>
      <c r="C33" s="1440"/>
      <c r="D33" s="1441"/>
      <c r="E33" s="1442"/>
      <c r="F33" s="1409"/>
      <c r="G33" s="1402"/>
      <c r="H33" s="1402"/>
      <c r="I33" s="492" t="s">
        <v>98</v>
      </c>
      <c r="J33" s="493"/>
      <c r="K33" s="493"/>
      <c r="L33" s="1409"/>
      <c r="M33" s="1402"/>
      <c r="N33" s="1527"/>
      <c r="O33" s="1506"/>
      <c r="P33" s="1429"/>
      <c r="Q33" s="1429"/>
      <c r="R33" s="1474"/>
    </row>
    <row r="34" spans="1:18" ht="12" customHeight="1">
      <c r="A34" s="1426"/>
      <c r="B34" s="1432"/>
      <c r="C34" s="1443"/>
      <c r="D34" s="1444"/>
      <c r="E34" s="1445"/>
      <c r="F34" s="1409"/>
      <c r="G34" s="1403"/>
      <c r="H34" s="1403"/>
      <c r="I34" s="494" t="s">
        <v>701</v>
      </c>
      <c r="J34" s="495"/>
      <c r="K34" s="495"/>
      <c r="L34" s="1409"/>
      <c r="M34" s="1403"/>
      <c r="N34" s="1528"/>
      <c r="O34" s="1506"/>
      <c r="P34" s="1429"/>
      <c r="Q34" s="1429"/>
      <c r="R34" s="1474"/>
    </row>
    <row r="35" spans="1:18" ht="10.5" customHeight="1">
      <c r="A35" s="1426"/>
      <c r="B35" s="1433"/>
      <c r="C35" s="463"/>
      <c r="D35" s="470"/>
      <c r="E35" s="470">
        <v>0</v>
      </c>
      <c r="F35" s="496" t="s">
        <v>96</v>
      </c>
      <c r="G35" s="852">
        <f>5+1</f>
        <v>6</v>
      </c>
      <c r="H35" s="853">
        <f>332+20</f>
        <v>352</v>
      </c>
      <c r="I35" s="496" t="s">
        <v>99</v>
      </c>
      <c r="J35" s="497"/>
      <c r="K35" s="497"/>
      <c r="L35" s="496" t="s">
        <v>96</v>
      </c>
      <c r="M35" s="852">
        <v>5</v>
      </c>
      <c r="N35" s="856">
        <v>332</v>
      </c>
      <c r="O35" s="1513"/>
      <c r="P35" s="1430"/>
      <c r="Q35" s="1430"/>
      <c r="R35" s="1475"/>
    </row>
    <row r="36" spans="1:18" ht="15" customHeight="1">
      <c r="A36" s="1426"/>
      <c r="B36" s="1431" t="s">
        <v>42</v>
      </c>
      <c r="C36" s="1487"/>
      <c r="D36" s="1488"/>
      <c r="E36" s="1489"/>
      <c r="F36" s="1408" t="s">
        <v>107</v>
      </c>
      <c r="G36" s="1401">
        <v>18</v>
      </c>
      <c r="H36" s="1401">
        <v>251</v>
      </c>
      <c r="I36" s="499" t="s">
        <v>94</v>
      </c>
      <c r="J36" s="500"/>
      <c r="K36" s="500"/>
      <c r="L36" s="1408" t="s">
        <v>837</v>
      </c>
      <c r="M36" s="1401">
        <v>41</v>
      </c>
      <c r="N36" s="1522">
        <v>670</v>
      </c>
      <c r="O36" s="1503">
        <v>0</v>
      </c>
      <c r="P36" s="1428">
        <v>178</v>
      </c>
      <c r="Q36" s="1517"/>
      <c r="R36" s="1473">
        <f>SUM(O36:Q39)</f>
        <v>178</v>
      </c>
    </row>
    <row r="37" spans="1:18" ht="19.5" customHeight="1">
      <c r="A37" s="1426"/>
      <c r="B37" s="1432"/>
      <c r="C37" s="1440"/>
      <c r="D37" s="1441"/>
      <c r="E37" s="1442"/>
      <c r="F37" s="1409"/>
      <c r="G37" s="1402"/>
      <c r="H37" s="1402"/>
      <c r="I37" s="492" t="s">
        <v>98</v>
      </c>
      <c r="J37" s="493"/>
      <c r="K37" s="493"/>
      <c r="L37" s="1409"/>
      <c r="M37" s="1402"/>
      <c r="N37" s="1523"/>
      <c r="O37" s="1503"/>
      <c r="P37" s="1429"/>
      <c r="Q37" s="1429"/>
      <c r="R37" s="1474"/>
    </row>
    <row r="38" spans="1:18" ht="12.75" customHeight="1">
      <c r="A38" s="1426"/>
      <c r="B38" s="1432"/>
      <c r="C38" s="1443"/>
      <c r="D38" s="1444"/>
      <c r="E38" s="1445"/>
      <c r="F38" s="1409"/>
      <c r="G38" s="1403"/>
      <c r="H38" s="1403"/>
      <c r="I38" s="494" t="s">
        <v>701</v>
      </c>
      <c r="J38" s="495"/>
      <c r="K38" s="495"/>
      <c r="L38" s="1409"/>
      <c r="M38" s="1403"/>
      <c r="N38" s="1524"/>
      <c r="O38" s="1503"/>
      <c r="P38" s="1429"/>
      <c r="Q38" s="1429"/>
      <c r="R38" s="1474"/>
    </row>
    <row r="39" spans="1:18" ht="10.5" customHeight="1">
      <c r="A39" s="1426"/>
      <c r="B39" s="1433"/>
      <c r="C39" s="463">
        <v>16</v>
      </c>
      <c r="D39" s="470">
        <v>4</v>
      </c>
      <c r="E39" s="470">
        <v>2</v>
      </c>
      <c r="F39" s="496" t="s">
        <v>96</v>
      </c>
      <c r="G39" s="852">
        <v>18</v>
      </c>
      <c r="H39" s="853">
        <v>251</v>
      </c>
      <c r="I39" s="496" t="s">
        <v>99</v>
      </c>
      <c r="J39" s="497">
        <f>SUM(J36:J38)</f>
        <v>0</v>
      </c>
      <c r="K39" s="497">
        <f>SUM(K36:K38)</f>
        <v>0</v>
      </c>
      <c r="L39" s="496" t="s">
        <v>96</v>
      </c>
      <c r="M39" s="852">
        <v>41</v>
      </c>
      <c r="N39" s="853">
        <v>670</v>
      </c>
      <c r="O39" s="1504"/>
      <c r="P39" s="1430"/>
      <c r="Q39" s="1430"/>
      <c r="R39" s="1475"/>
    </row>
    <row r="40" spans="1:18" ht="24" customHeight="1">
      <c r="A40" s="1426"/>
      <c r="B40" s="1431" t="s">
        <v>108</v>
      </c>
      <c r="C40" s="1487" t="s">
        <v>923</v>
      </c>
      <c r="D40" s="1488"/>
      <c r="E40" s="1489"/>
      <c r="F40" s="1490" t="s">
        <v>924</v>
      </c>
      <c r="G40" s="1449">
        <v>12</v>
      </c>
      <c r="H40" s="1449">
        <v>159</v>
      </c>
      <c r="I40" s="499" t="s">
        <v>94</v>
      </c>
      <c r="J40" s="500"/>
      <c r="K40" s="500"/>
      <c r="L40" s="1408" t="s">
        <v>925</v>
      </c>
      <c r="M40" s="1519">
        <v>7</v>
      </c>
      <c r="N40" s="1514">
        <v>187</v>
      </c>
      <c r="O40" s="1503"/>
      <c r="P40" s="1428">
        <v>139</v>
      </c>
      <c r="Q40" s="1517">
        <v>12</v>
      </c>
      <c r="R40" s="1473">
        <f>SUM(P40:Q40)</f>
        <v>151</v>
      </c>
    </row>
    <row r="41" spans="1:18" ht="24" customHeight="1">
      <c r="A41" s="1426"/>
      <c r="B41" s="1432"/>
      <c r="C41" s="1440"/>
      <c r="D41" s="1441"/>
      <c r="E41" s="1442"/>
      <c r="F41" s="1491"/>
      <c r="G41" s="1399"/>
      <c r="H41" s="1399"/>
      <c r="I41" s="492" t="s">
        <v>98</v>
      </c>
      <c r="J41" s="493"/>
      <c r="K41" s="493"/>
      <c r="L41" s="1409"/>
      <c r="M41" s="1520"/>
      <c r="N41" s="1515"/>
      <c r="O41" s="1503"/>
      <c r="P41" s="1429"/>
      <c r="Q41" s="1429"/>
      <c r="R41" s="1474"/>
    </row>
    <row r="42" spans="1:18" ht="24" customHeight="1">
      <c r="A42" s="1426"/>
      <c r="B42" s="1432"/>
      <c r="C42" s="1443"/>
      <c r="D42" s="1444"/>
      <c r="E42" s="1445"/>
      <c r="F42" s="1582"/>
      <c r="G42" s="1400"/>
      <c r="H42" s="1400"/>
      <c r="I42" s="505" t="s">
        <v>701</v>
      </c>
      <c r="J42" s="495">
        <v>3</v>
      </c>
      <c r="K42" s="495">
        <v>35</v>
      </c>
      <c r="L42" s="1409"/>
      <c r="M42" s="1521"/>
      <c r="N42" s="1516"/>
      <c r="O42" s="1503"/>
      <c r="P42" s="1429"/>
      <c r="Q42" s="1429"/>
      <c r="R42" s="1474"/>
    </row>
    <row r="43" spans="1:18" ht="10.5" customHeight="1">
      <c r="A43" s="1426"/>
      <c r="B43" s="1433"/>
      <c r="C43" s="463">
        <v>15</v>
      </c>
      <c r="D43" s="470">
        <v>36</v>
      </c>
      <c r="E43" s="470"/>
      <c r="F43" s="496" t="s">
        <v>96</v>
      </c>
      <c r="G43" s="852">
        <v>12</v>
      </c>
      <c r="H43" s="852">
        <v>159</v>
      </c>
      <c r="I43" s="496" t="s">
        <v>99</v>
      </c>
      <c r="J43" s="497">
        <v>3</v>
      </c>
      <c r="K43" s="497">
        <v>35</v>
      </c>
      <c r="L43" s="496" t="s">
        <v>96</v>
      </c>
      <c r="M43" s="852">
        <v>7</v>
      </c>
      <c r="N43" s="853">
        <v>187</v>
      </c>
      <c r="O43" s="1504"/>
      <c r="P43" s="1430"/>
      <c r="Q43" s="1430"/>
      <c r="R43" s="1475"/>
    </row>
    <row r="44" spans="1:18" ht="10.5" customHeight="1">
      <c r="A44" s="1426"/>
      <c r="B44" s="1431" t="s">
        <v>109</v>
      </c>
      <c r="C44" s="1487" t="s">
        <v>926</v>
      </c>
      <c r="D44" s="1488"/>
      <c r="E44" s="1489"/>
      <c r="F44" s="1449"/>
      <c r="G44" s="1449"/>
      <c r="H44" s="1449"/>
      <c r="I44" s="499" t="s">
        <v>94</v>
      </c>
      <c r="J44" s="500"/>
      <c r="K44" s="500"/>
      <c r="L44" s="1449"/>
      <c r="M44" s="1449"/>
      <c r="N44" s="1450"/>
      <c r="O44" s="1518"/>
      <c r="P44" s="1428"/>
      <c r="Q44" s="1428"/>
      <c r="R44" s="1473"/>
    </row>
    <row r="45" spans="1:18" ht="21" customHeight="1">
      <c r="A45" s="1426"/>
      <c r="B45" s="1432"/>
      <c r="C45" s="1440"/>
      <c r="D45" s="1441"/>
      <c r="E45" s="1442"/>
      <c r="F45" s="1399"/>
      <c r="G45" s="1399"/>
      <c r="H45" s="1399"/>
      <c r="I45" s="492" t="s">
        <v>98</v>
      </c>
      <c r="J45" s="493">
        <v>186</v>
      </c>
      <c r="K45" s="493"/>
      <c r="L45" s="1399"/>
      <c r="M45" s="1399"/>
      <c r="N45" s="1451"/>
      <c r="O45" s="1506"/>
      <c r="P45" s="1429"/>
      <c r="Q45" s="1429"/>
      <c r="R45" s="1474"/>
    </row>
    <row r="46" spans="1:18" ht="10.5" customHeight="1">
      <c r="A46" s="1426"/>
      <c r="B46" s="1432"/>
      <c r="C46" s="1443"/>
      <c r="D46" s="1444"/>
      <c r="E46" s="1445"/>
      <c r="F46" s="1399"/>
      <c r="G46" s="1399"/>
      <c r="H46" s="1399"/>
      <c r="I46" s="505" t="s">
        <v>701</v>
      </c>
      <c r="J46" s="495">
        <v>149</v>
      </c>
      <c r="K46" s="495"/>
      <c r="L46" s="1399"/>
      <c r="M46" s="1399"/>
      <c r="N46" s="1451"/>
      <c r="O46" s="1506"/>
      <c r="P46" s="1429"/>
      <c r="Q46" s="1429"/>
      <c r="R46" s="1474"/>
    </row>
    <row r="47" spans="1:18" ht="10.5" customHeight="1" thickBot="1">
      <c r="A47" s="1427"/>
      <c r="B47" s="1448"/>
      <c r="C47" s="506">
        <v>45</v>
      </c>
      <c r="D47" s="469"/>
      <c r="E47" s="469"/>
      <c r="F47" s="1407"/>
      <c r="G47" s="1407"/>
      <c r="H47" s="1407"/>
      <c r="I47" s="509" t="s">
        <v>99</v>
      </c>
      <c r="J47" s="508">
        <f>SUM(J44:J46)</f>
        <v>335</v>
      </c>
      <c r="K47" s="508">
        <f>SUM(K44:K46)</f>
        <v>0</v>
      </c>
      <c r="L47" s="1407"/>
      <c r="M47" s="1407"/>
      <c r="N47" s="1505"/>
      <c r="O47" s="1507"/>
      <c r="P47" s="1500"/>
      <c r="Q47" s="1500"/>
      <c r="R47" s="1501"/>
    </row>
    <row r="48" spans="1:18" ht="14.25" thickBot="1">
      <c r="A48" s="1413" t="str">
        <f>A1</f>
        <v>４　　ボランティアバンク設置・ボランティア活動状況(平成29年度実績）</v>
      </c>
      <c r="B48" s="1413"/>
      <c r="C48" s="1413"/>
      <c r="D48" s="1413"/>
      <c r="E48" s="1413"/>
      <c r="F48" s="1413"/>
      <c r="G48" s="1413"/>
      <c r="H48" s="1413"/>
      <c r="I48" s="1413"/>
      <c r="J48" s="1413"/>
      <c r="K48" s="1413"/>
      <c r="L48" s="1413"/>
      <c r="M48" s="1413"/>
      <c r="N48" s="1413"/>
      <c r="O48" s="1413"/>
      <c r="P48" s="1413"/>
      <c r="Q48" s="1413"/>
      <c r="R48" s="1413"/>
    </row>
    <row r="49" spans="1:18" ht="24" customHeight="1">
      <c r="A49" s="1414" t="s">
        <v>73</v>
      </c>
      <c r="B49" s="1415"/>
      <c r="C49" s="1529" t="s">
        <v>74</v>
      </c>
      <c r="D49" s="1530"/>
      <c r="E49" s="1531"/>
      <c r="F49" s="1532" t="s">
        <v>75</v>
      </c>
      <c r="G49" s="1533"/>
      <c r="H49" s="1534"/>
      <c r="I49" s="1421" t="s">
        <v>76</v>
      </c>
      <c r="J49" s="1422"/>
      <c r="K49" s="1423"/>
      <c r="L49" s="1421" t="s">
        <v>77</v>
      </c>
      <c r="M49" s="1422"/>
      <c r="N49" s="1424"/>
      <c r="O49" s="1535" t="s">
        <v>78</v>
      </c>
      <c r="P49" s="1535"/>
      <c r="Q49" s="1535"/>
      <c r="R49" s="1536"/>
    </row>
    <row r="50" spans="1:18" ht="36.75" customHeight="1" thickBot="1">
      <c r="A50" s="1416"/>
      <c r="B50" s="1417"/>
      <c r="C50" s="271" t="s">
        <v>79</v>
      </c>
      <c r="D50" s="263" t="s">
        <v>80</v>
      </c>
      <c r="E50" s="263" t="s">
        <v>81</v>
      </c>
      <c r="F50" s="264" t="s">
        <v>82</v>
      </c>
      <c r="G50" s="264" t="s">
        <v>83</v>
      </c>
      <c r="H50" s="264" t="s">
        <v>84</v>
      </c>
      <c r="I50" s="265" t="s">
        <v>82</v>
      </c>
      <c r="J50" s="265" t="s">
        <v>85</v>
      </c>
      <c r="K50" s="272" t="s">
        <v>86</v>
      </c>
      <c r="L50" s="265" t="s">
        <v>87</v>
      </c>
      <c r="M50" s="265" t="s">
        <v>83</v>
      </c>
      <c r="N50" s="273" t="s">
        <v>88</v>
      </c>
      <c r="O50" s="268" t="s">
        <v>89</v>
      </c>
      <c r="P50" s="269" t="s">
        <v>90</v>
      </c>
      <c r="Q50" s="269" t="s">
        <v>55</v>
      </c>
      <c r="R50" s="270" t="s">
        <v>91</v>
      </c>
    </row>
    <row r="51" spans="1:18" ht="10.5" customHeight="1">
      <c r="A51" s="1425" t="s">
        <v>110</v>
      </c>
      <c r="B51" s="1537" t="s">
        <v>111</v>
      </c>
      <c r="C51" s="1539"/>
      <c r="D51" s="1540"/>
      <c r="E51" s="1541"/>
      <c r="F51" s="1542"/>
      <c r="G51" s="1410"/>
      <c r="H51" s="1410"/>
      <c r="I51" s="499" t="s">
        <v>94</v>
      </c>
      <c r="J51" s="501"/>
      <c r="K51" s="501"/>
      <c r="L51" s="1547"/>
      <c r="M51" s="1410"/>
      <c r="N51" s="1511"/>
      <c r="O51" s="1548"/>
      <c r="P51" s="1550"/>
      <c r="Q51" s="1550"/>
      <c r="R51" s="1552"/>
    </row>
    <row r="52" spans="1:18" ht="21" customHeight="1">
      <c r="A52" s="1426"/>
      <c r="B52" s="1537"/>
      <c r="C52" s="1480"/>
      <c r="D52" s="1481"/>
      <c r="E52" s="1482"/>
      <c r="F52" s="1543"/>
      <c r="G52" s="1399"/>
      <c r="H52" s="1399"/>
      <c r="I52" s="516" t="s">
        <v>98</v>
      </c>
      <c r="J52" s="493"/>
      <c r="K52" s="493"/>
      <c r="L52" s="1397"/>
      <c r="M52" s="1399"/>
      <c r="N52" s="1451"/>
      <c r="O52" s="1548"/>
      <c r="P52" s="1550"/>
      <c r="Q52" s="1550"/>
      <c r="R52" s="1552"/>
    </row>
    <row r="53" spans="1:18" ht="10.5" customHeight="1">
      <c r="A53" s="1426"/>
      <c r="B53" s="1537"/>
      <c r="C53" s="1483"/>
      <c r="D53" s="1484"/>
      <c r="E53" s="1485"/>
      <c r="F53" s="1543"/>
      <c r="G53" s="1399"/>
      <c r="H53" s="1399"/>
      <c r="I53" s="494" t="s">
        <v>701</v>
      </c>
      <c r="J53" s="495"/>
      <c r="K53" s="495"/>
      <c r="L53" s="1397"/>
      <c r="M53" s="1399"/>
      <c r="N53" s="1451"/>
      <c r="O53" s="1548"/>
      <c r="P53" s="1550"/>
      <c r="Q53" s="1550"/>
      <c r="R53" s="1552"/>
    </row>
    <row r="54" spans="1:18" ht="10.5" customHeight="1">
      <c r="A54" s="1426"/>
      <c r="B54" s="1538"/>
      <c r="C54" s="463"/>
      <c r="D54" s="470"/>
      <c r="E54" s="470"/>
      <c r="F54" s="1544"/>
      <c r="G54" s="1400"/>
      <c r="H54" s="1400"/>
      <c r="I54" s="496" t="s">
        <v>99</v>
      </c>
      <c r="J54" s="497"/>
      <c r="K54" s="497"/>
      <c r="L54" s="1398"/>
      <c r="M54" s="1400"/>
      <c r="N54" s="1452"/>
      <c r="O54" s="1549"/>
      <c r="P54" s="1551"/>
      <c r="Q54" s="1551"/>
      <c r="R54" s="1553"/>
    </row>
    <row r="55" spans="1:18" ht="41.25" customHeight="1">
      <c r="A55" s="1426"/>
      <c r="B55" s="1431" t="s">
        <v>112</v>
      </c>
      <c r="C55" s="1487" t="s">
        <v>736</v>
      </c>
      <c r="D55" s="1488"/>
      <c r="E55" s="1489"/>
      <c r="F55" s="1545" t="s">
        <v>907</v>
      </c>
      <c r="G55" s="1449">
        <v>3</v>
      </c>
      <c r="H55" s="1449">
        <v>88</v>
      </c>
      <c r="I55" s="499" t="s">
        <v>94</v>
      </c>
      <c r="J55" s="500"/>
      <c r="K55" s="500"/>
      <c r="L55" s="1408" t="s">
        <v>909</v>
      </c>
      <c r="M55" s="1401" t="s">
        <v>908</v>
      </c>
      <c r="N55" s="1558" t="s">
        <v>910</v>
      </c>
      <c r="O55" s="1554"/>
      <c r="P55" s="1557">
        <v>50</v>
      </c>
      <c r="Q55" s="1557"/>
      <c r="R55" s="1561">
        <v>50</v>
      </c>
    </row>
    <row r="56" spans="1:18" ht="41.25" customHeight="1">
      <c r="A56" s="1426"/>
      <c r="B56" s="1432"/>
      <c r="C56" s="1440"/>
      <c r="D56" s="1441"/>
      <c r="E56" s="1442"/>
      <c r="F56" s="1546"/>
      <c r="G56" s="1399"/>
      <c r="H56" s="1399"/>
      <c r="I56" s="516" t="s">
        <v>98</v>
      </c>
      <c r="J56" s="493"/>
      <c r="K56" s="493"/>
      <c r="L56" s="1409"/>
      <c r="M56" s="1402"/>
      <c r="N56" s="1559"/>
      <c r="O56" s="1555"/>
      <c r="P56" s="1550"/>
      <c r="Q56" s="1550"/>
      <c r="R56" s="1552"/>
    </row>
    <row r="57" spans="1:18" ht="41.25" customHeight="1">
      <c r="A57" s="1426"/>
      <c r="B57" s="1432"/>
      <c r="C57" s="1443"/>
      <c r="D57" s="1444"/>
      <c r="E57" s="1445"/>
      <c r="F57" s="1546"/>
      <c r="G57" s="1400"/>
      <c r="H57" s="1400"/>
      <c r="I57" s="494" t="s">
        <v>701</v>
      </c>
      <c r="J57" s="495"/>
      <c r="K57" s="495"/>
      <c r="L57" s="1409"/>
      <c r="M57" s="1403"/>
      <c r="N57" s="1560"/>
      <c r="O57" s="1555"/>
      <c r="P57" s="1550"/>
      <c r="Q57" s="1550"/>
      <c r="R57" s="1552"/>
    </row>
    <row r="58" spans="1:18" ht="12" customHeight="1">
      <c r="A58" s="1426"/>
      <c r="B58" s="1433"/>
      <c r="C58" s="463">
        <v>30</v>
      </c>
      <c r="D58" s="470"/>
      <c r="E58" s="470"/>
      <c r="F58" s="496" t="s">
        <v>96</v>
      </c>
      <c r="G58" s="852">
        <v>3</v>
      </c>
      <c r="H58" s="853">
        <v>88</v>
      </c>
      <c r="I58" s="496" t="s">
        <v>99</v>
      </c>
      <c r="J58" s="497"/>
      <c r="K58" s="497"/>
      <c r="L58" s="496" t="s">
        <v>96</v>
      </c>
      <c r="M58" s="852">
        <f>45+34</f>
        <v>79</v>
      </c>
      <c r="N58" s="855">
        <f>163+34</f>
        <v>197</v>
      </c>
      <c r="O58" s="1556"/>
      <c r="P58" s="1551"/>
      <c r="Q58" s="1551"/>
      <c r="R58" s="1553"/>
    </row>
    <row r="59" spans="1:18" ht="11.25" customHeight="1">
      <c r="A59" s="1426"/>
      <c r="B59" s="1431" t="s">
        <v>113</v>
      </c>
      <c r="C59" s="1487" t="s">
        <v>114</v>
      </c>
      <c r="D59" s="1488"/>
      <c r="E59" s="1489"/>
      <c r="F59" s="1486"/>
      <c r="G59" s="1449"/>
      <c r="H59" s="1449"/>
      <c r="I59" s="499" t="s">
        <v>94</v>
      </c>
      <c r="J59" s="500"/>
      <c r="K59" s="500"/>
      <c r="L59" s="1486"/>
      <c r="M59" s="1449"/>
      <c r="N59" s="1449"/>
      <c r="O59" s="1564"/>
      <c r="P59" s="1557"/>
      <c r="Q59" s="1557"/>
      <c r="R59" s="1561"/>
    </row>
    <row r="60" spans="1:18" ht="21" customHeight="1">
      <c r="A60" s="1426"/>
      <c r="B60" s="1432"/>
      <c r="C60" s="1440"/>
      <c r="D60" s="1441"/>
      <c r="E60" s="1442"/>
      <c r="F60" s="1397"/>
      <c r="G60" s="1399"/>
      <c r="H60" s="1399"/>
      <c r="I60" s="516" t="s">
        <v>98</v>
      </c>
      <c r="J60" s="493"/>
      <c r="K60" s="493"/>
      <c r="L60" s="1397"/>
      <c r="M60" s="1562"/>
      <c r="N60" s="1562"/>
      <c r="O60" s="1564"/>
      <c r="P60" s="1550"/>
      <c r="Q60" s="1550"/>
      <c r="R60" s="1552"/>
    </row>
    <row r="61" spans="1:18" ht="11.25" customHeight="1">
      <c r="A61" s="1426"/>
      <c r="B61" s="1432"/>
      <c r="C61" s="1443"/>
      <c r="D61" s="1444"/>
      <c r="E61" s="1445"/>
      <c r="F61" s="1397"/>
      <c r="G61" s="1399"/>
      <c r="H61" s="1399"/>
      <c r="I61" s="494" t="s">
        <v>701</v>
      </c>
      <c r="J61" s="495"/>
      <c r="K61" s="495"/>
      <c r="L61" s="1397"/>
      <c r="M61" s="1562"/>
      <c r="N61" s="1562"/>
      <c r="O61" s="1564"/>
      <c r="P61" s="1550"/>
      <c r="Q61" s="1550"/>
      <c r="R61" s="1552"/>
    </row>
    <row r="62" spans="1:18" ht="11.25" customHeight="1">
      <c r="A62" s="1426"/>
      <c r="B62" s="1433"/>
      <c r="C62" s="463"/>
      <c r="D62" s="470"/>
      <c r="E62" s="470"/>
      <c r="F62" s="1398"/>
      <c r="G62" s="1400"/>
      <c r="H62" s="1400"/>
      <c r="I62" s="496" t="s">
        <v>99</v>
      </c>
      <c r="J62" s="497"/>
      <c r="K62" s="497"/>
      <c r="L62" s="1398"/>
      <c r="M62" s="1563"/>
      <c r="N62" s="1563"/>
      <c r="O62" s="1565"/>
      <c r="P62" s="1551"/>
      <c r="Q62" s="1551"/>
      <c r="R62" s="1553"/>
    </row>
    <row r="63" spans="1:18" ht="10.5" customHeight="1">
      <c r="A63" s="1426"/>
      <c r="B63" s="1431" t="s">
        <v>115</v>
      </c>
      <c r="C63" s="1477"/>
      <c r="D63" s="1478"/>
      <c r="E63" s="1479"/>
      <c r="F63" s="1449"/>
      <c r="G63" s="1449"/>
      <c r="H63" s="1449"/>
      <c r="I63" s="499" t="s">
        <v>94</v>
      </c>
      <c r="J63" s="500"/>
      <c r="K63" s="500"/>
      <c r="L63" s="1486"/>
      <c r="M63" s="1449"/>
      <c r="N63" s="1450"/>
      <c r="O63" s="1566"/>
      <c r="P63" s="1557"/>
      <c r="Q63" s="1557"/>
      <c r="R63" s="1561"/>
    </row>
    <row r="64" spans="1:18" ht="21" customHeight="1">
      <c r="A64" s="1426"/>
      <c r="B64" s="1432"/>
      <c r="C64" s="1480"/>
      <c r="D64" s="1481"/>
      <c r="E64" s="1482"/>
      <c r="F64" s="1399"/>
      <c r="G64" s="1399"/>
      <c r="H64" s="1399"/>
      <c r="I64" s="516" t="s">
        <v>98</v>
      </c>
      <c r="J64" s="493"/>
      <c r="K64" s="493"/>
      <c r="L64" s="1397"/>
      <c r="M64" s="1399"/>
      <c r="N64" s="1451"/>
      <c r="O64" s="1548"/>
      <c r="P64" s="1550"/>
      <c r="Q64" s="1550"/>
      <c r="R64" s="1552"/>
    </row>
    <row r="65" spans="1:18" ht="10.5" customHeight="1">
      <c r="A65" s="1426"/>
      <c r="B65" s="1432"/>
      <c r="C65" s="1483"/>
      <c r="D65" s="1484"/>
      <c r="E65" s="1485"/>
      <c r="F65" s="1399"/>
      <c r="G65" s="1399"/>
      <c r="H65" s="1399"/>
      <c r="I65" s="494" t="s">
        <v>701</v>
      </c>
      <c r="J65" s="495"/>
      <c r="K65" s="495"/>
      <c r="L65" s="1397"/>
      <c r="M65" s="1399"/>
      <c r="N65" s="1451"/>
      <c r="O65" s="1548"/>
      <c r="P65" s="1550"/>
      <c r="Q65" s="1550"/>
      <c r="R65" s="1552"/>
    </row>
    <row r="66" spans="1:18" ht="10.5" customHeight="1">
      <c r="A66" s="1426"/>
      <c r="B66" s="1433"/>
      <c r="C66" s="463"/>
      <c r="D66" s="470"/>
      <c r="E66" s="470"/>
      <c r="F66" s="1399"/>
      <c r="G66" s="1400"/>
      <c r="H66" s="1400"/>
      <c r="I66" s="496" t="s">
        <v>99</v>
      </c>
      <c r="J66" s="497"/>
      <c r="K66" s="497"/>
      <c r="L66" s="1398"/>
      <c r="M66" s="1400"/>
      <c r="N66" s="1452"/>
      <c r="O66" s="1549"/>
      <c r="P66" s="1551"/>
      <c r="Q66" s="1551"/>
      <c r="R66" s="1553"/>
    </row>
    <row r="67" spans="1:18" ht="12" customHeight="1">
      <c r="A67" s="1426"/>
      <c r="B67" s="1431" t="s">
        <v>116</v>
      </c>
      <c r="C67" s="1487" t="s">
        <v>733</v>
      </c>
      <c r="D67" s="1488"/>
      <c r="E67" s="1489"/>
      <c r="F67" s="1545" t="s">
        <v>927</v>
      </c>
      <c r="G67" s="1404">
        <v>1</v>
      </c>
      <c r="H67" s="1404">
        <v>12</v>
      </c>
      <c r="I67" s="499" t="s">
        <v>94</v>
      </c>
      <c r="J67" s="500">
        <v>5</v>
      </c>
      <c r="K67" s="500">
        <v>15</v>
      </c>
      <c r="L67" s="1408" t="s">
        <v>928</v>
      </c>
      <c r="M67" s="1401">
        <v>23</v>
      </c>
      <c r="N67" s="1526">
        <v>58</v>
      </c>
      <c r="O67" s="1567"/>
      <c r="P67" s="1568"/>
      <c r="Q67" s="1570"/>
      <c r="R67" s="1571"/>
    </row>
    <row r="68" spans="1:18" ht="21" customHeight="1">
      <c r="A68" s="1426"/>
      <c r="B68" s="1432"/>
      <c r="C68" s="1440"/>
      <c r="D68" s="1441"/>
      <c r="E68" s="1442"/>
      <c r="F68" s="1546"/>
      <c r="G68" s="1405"/>
      <c r="H68" s="1405"/>
      <c r="I68" s="516" t="s">
        <v>98</v>
      </c>
      <c r="J68" s="493"/>
      <c r="K68" s="493"/>
      <c r="L68" s="1409"/>
      <c r="M68" s="1402"/>
      <c r="N68" s="1527"/>
      <c r="O68" s="1564"/>
      <c r="P68" s="1569"/>
      <c r="Q68" s="1569"/>
      <c r="R68" s="1572"/>
    </row>
    <row r="69" spans="1:18" ht="12" customHeight="1">
      <c r="A69" s="1426"/>
      <c r="B69" s="1432"/>
      <c r="C69" s="1443"/>
      <c r="D69" s="1444"/>
      <c r="E69" s="1445"/>
      <c r="F69" s="1546"/>
      <c r="G69" s="1492"/>
      <c r="H69" s="1492"/>
      <c r="I69" s="494" t="s">
        <v>701</v>
      </c>
      <c r="J69" s="495"/>
      <c r="K69" s="495"/>
      <c r="L69" s="1409"/>
      <c r="M69" s="1403"/>
      <c r="N69" s="1528"/>
      <c r="O69" s="1564"/>
      <c r="P69" s="1569"/>
      <c r="Q69" s="1569"/>
      <c r="R69" s="1572"/>
    </row>
    <row r="70" spans="1:18" ht="12" customHeight="1">
      <c r="A70" s="1426"/>
      <c r="B70" s="1432"/>
      <c r="C70" s="488"/>
      <c r="D70" s="502"/>
      <c r="E70" s="502"/>
      <c r="F70" s="496" t="s">
        <v>96</v>
      </c>
      <c r="G70" s="852">
        <v>1</v>
      </c>
      <c r="H70" s="853">
        <v>12</v>
      </c>
      <c r="I70" s="503" t="s">
        <v>99</v>
      </c>
      <c r="J70" s="498">
        <f>SUM(J67:J69)</f>
        <v>5</v>
      </c>
      <c r="K70" s="498">
        <f>SUM(K67:K69)</f>
        <v>15</v>
      </c>
      <c r="L70" s="496" t="s">
        <v>96</v>
      </c>
      <c r="M70" s="852">
        <v>23</v>
      </c>
      <c r="N70" s="853">
        <v>58</v>
      </c>
      <c r="O70" s="1564"/>
      <c r="P70" s="1569"/>
      <c r="Q70" s="1569"/>
      <c r="R70" s="1572"/>
    </row>
    <row r="71" spans="1:18" ht="10.5" customHeight="1">
      <c r="A71" s="1426"/>
      <c r="B71" s="1431" t="s">
        <v>117</v>
      </c>
      <c r="C71" s="1487"/>
      <c r="D71" s="1488"/>
      <c r="E71" s="1489"/>
      <c r="F71" s="1486"/>
      <c r="G71" s="1449"/>
      <c r="H71" s="1449"/>
      <c r="I71" s="499" t="s">
        <v>94</v>
      </c>
      <c r="J71" s="500"/>
      <c r="K71" s="500"/>
      <c r="L71" s="1486"/>
      <c r="M71" s="1449"/>
      <c r="N71" s="1450"/>
      <c r="O71" s="1567"/>
      <c r="P71" s="1557"/>
      <c r="Q71" s="1557"/>
      <c r="R71" s="1561"/>
    </row>
    <row r="72" spans="1:18" ht="21" customHeight="1">
      <c r="A72" s="1426"/>
      <c r="B72" s="1432"/>
      <c r="C72" s="1440"/>
      <c r="D72" s="1441"/>
      <c r="E72" s="1442"/>
      <c r="F72" s="1397"/>
      <c r="G72" s="1399"/>
      <c r="H72" s="1399"/>
      <c r="I72" s="516" t="s">
        <v>98</v>
      </c>
      <c r="J72" s="493"/>
      <c r="K72" s="493"/>
      <c r="L72" s="1397"/>
      <c r="M72" s="1399"/>
      <c r="N72" s="1451"/>
      <c r="O72" s="1564"/>
      <c r="P72" s="1550"/>
      <c r="Q72" s="1550"/>
      <c r="R72" s="1552"/>
    </row>
    <row r="73" spans="1:18" ht="10.5" customHeight="1">
      <c r="A73" s="1426"/>
      <c r="B73" s="1432"/>
      <c r="C73" s="1443"/>
      <c r="D73" s="1444"/>
      <c r="E73" s="1445"/>
      <c r="F73" s="1397"/>
      <c r="G73" s="1399"/>
      <c r="H73" s="1399"/>
      <c r="I73" s="494" t="s">
        <v>701</v>
      </c>
      <c r="J73" s="495"/>
      <c r="K73" s="495"/>
      <c r="L73" s="1397"/>
      <c r="M73" s="1399"/>
      <c r="N73" s="1451"/>
      <c r="O73" s="1564"/>
      <c r="P73" s="1550"/>
      <c r="Q73" s="1550"/>
      <c r="R73" s="1552"/>
    </row>
    <row r="74" spans="1:18" ht="10.5" customHeight="1">
      <c r="A74" s="1426"/>
      <c r="B74" s="1433"/>
      <c r="C74" s="463"/>
      <c r="D74" s="470"/>
      <c r="E74" s="470"/>
      <c r="F74" s="1398"/>
      <c r="G74" s="1400"/>
      <c r="H74" s="1400"/>
      <c r="I74" s="496" t="s">
        <v>99</v>
      </c>
      <c r="J74" s="497"/>
      <c r="K74" s="497"/>
      <c r="L74" s="1398"/>
      <c r="M74" s="1400"/>
      <c r="N74" s="1452"/>
      <c r="O74" s="1565"/>
      <c r="P74" s="1551"/>
      <c r="Q74" s="1551"/>
      <c r="R74" s="1553"/>
    </row>
    <row r="75" spans="1:18" ht="12" customHeight="1">
      <c r="A75" s="1426"/>
      <c r="B75" s="1431" t="s">
        <v>54</v>
      </c>
      <c r="C75" s="1573"/>
      <c r="D75" s="1574"/>
      <c r="E75" s="1575"/>
      <c r="F75" s="1490"/>
      <c r="G75" s="1449"/>
      <c r="H75" s="1449"/>
      <c r="I75" s="499" t="s">
        <v>94</v>
      </c>
      <c r="J75" s="500"/>
      <c r="K75" s="500"/>
      <c r="L75" s="1497"/>
      <c r="M75" s="1401"/>
      <c r="N75" s="1401"/>
      <c r="O75" s="1564"/>
      <c r="P75" s="1557"/>
      <c r="Q75" s="1557"/>
      <c r="R75" s="1561"/>
    </row>
    <row r="76" spans="1:18" ht="21" customHeight="1">
      <c r="A76" s="1426"/>
      <c r="B76" s="1432"/>
      <c r="C76" s="1576"/>
      <c r="D76" s="1577"/>
      <c r="E76" s="1578"/>
      <c r="F76" s="1491"/>
      <c r="G76" s="1399"/>
      <c r="H76" s="1399"/>
      <c r="I76" s="516" t="s">
        <v>98</v>
      </c>
      <c r="J76" s="493"/>
      <c r="K76" s="493"/>
      <c r="L76" s="1498"/>
      <c r="M76" s="1402"/>
      <c r="N76" s="1402"/>
      <c r="O76" s="1564"/>
      <c r="P76" s="1550"/>
      <c r="Q76" s="1550"/>
      <c r="R76" s="1552"/>
    </row>
    <row r="77" spans="1:18" ht="12" customHeight="1">
      <c r="A77" s="1426"/>
      <c r="B77" s="1432"/>
      <c r="C77" s="1579"/>
      <c r="D77" s="1580"/>
      <c r="E77" s="1581"/>
      <c r="F77" s="1491"/>
      <c r="G77" s="1399"/>
      <c r="H77" s="1399"/>
      <c r="I77" s="494" t="s">
        <v>701</v>
      </c>
      <c r="J77" s="495"/>
      <c r="K77" s="495"/>
      <c r="L77" s="1498"/>
      <c r="M77" s="1402"/>
      <c r="N77" s="1402"/>
      <c r="O77" s="1564"/>
      <c r="P77" s="1550"/>
      <c r="Q77" s="1550"/>
      <c r="R77" s="1552"/>
    </row>
    <row r="78" spans="1:18" ht="12" customHeight="1">
      <c r="A78" s="1426"/>
      <c r="B78" s="1433"/>
      <c r="C78" s="463"/>
      <c r="D78" s="470"/>
      <c r="E78" s="470"/>
      <c r="F78" s="1582"/>
      <c r="G78" s="1400"/>
      <c r="H78" s="1400"/>
      <c r="I78" s="496" t="s">
        <v>96</v>
      </c>
      <c r="J78" s="497">
        <f>SUM(J75:J77)</f>
        <v>0</v>
      </c>
      <c r="K78" s="497">
        <f>SUM(K75:K77)</f>
        <v>0</v>
      </c>
      <c r="L78" s="1499"/>
      <c r="M78" s="1403"/>
      <c r="N78" s="1403"/>
      <c r="O78" s="1565"/>
      <c r="P78" s="1551"/>
      <c r="Q78" s="1551"/>
      <c r="R78" s="1553"/>
    </row>
    <row r="79" spans="1:18" ht="11.25" customHeight="1">
      <c r="A79" s="1426"/>
      <c r="B79" s="1431" t="s">
        <v>118</v>
      </c>
      <c r="C79" s="1477"/>
      <c r="D79" s="1478"/>
      <c r="E79" s="1479"/>
      <c r="F79" s="1543"/>
      <c r="G79" s="1449"/>
      <c r="H79" s="1449"/>
      <c r="I79" s="499" t="s">
        <v>94</v>
      </c>
      <c r="J79" s="500"/>
      <c r="K79" s="500"/>
      <c r="L79" s="1401" t="s">
        <v>119</v>
      </c>
      <c r="M79" s="1401">
        <v>2</v>
      </c>
      <c r="N79" s="1526">
        <v>480</v>
      </c>
      <c r="O79" s="1566"/>
      <c r="P79" s="1583">
        <v>1130</v>
      </c>
      <c r="Q79" s="1449"/>
      <c r="R79" s="1586">
        <f>SUM(P79:Q79)</f>
        <v>1130</v>
      </c>
    </row>
    <row r="80" spans="1:18" ht="21" customHeight="1">
      <c r="A80" s="1426"/>
      <c r="B80" s="1432"/>
      <c r="C80" s="1480"/>
      <c r="D80" s="1481"/>
      <c r="E80" s="1482"/>
      <c r="F80" s="1543"/>
      <c r="G80" s="1399"/>
      <c r="H80" s="1399"/>
      <c r="I80" s="516" t="s">
        <v>98</v>
      </c>
      <c r="J80" s="493"/>
      <c r="K80" s="493"/>
      <c r="L80" s="1402"/>
      <c r="M80" s="1402"/>
      <c r="N80" s="1527"/>
      <c r="O80" s="1548"/>
      <c r="P80" s="1584"/>
      <c r="Q80" s="1584"/>
      <c r="R80" s="1587"/>
    </row>
    <row r="81" spans="1:18" ht="12" customHeight="1">
      <c r="A81" s="1426"/>
      <c r="B81" s="1432"/>
      <c r="C81" s="1483"/>
      <c r="D81" s="1484"/>
      <c r="E81" s="1485"/>
      <c r="F81" s="1543"/>
      <c r="G81" s="1399"/>
      <c r="H81" s="1399"/>
      <c r="I81" s="494" t="s">
        <v>703</v>
      </c>
      <c r="J81" s="495"/>
      <c r="K81" s="495"/>
      <c r="L81" s="1402"/>
      <c r="M81" s="1403"/>
      <c r="N81" s="1528"/>
      <c r="O81" s="1548"/>
      <c r="P81" s="1584"/>
      <c r="Q81" s="1584"/>
      <c r="R81" s="1587"/>
    </row>
    <row r="82" spans="1:18" ht="12" customHeight="1">
      <c r="A82" s="1426"/>
      <c r="B82" s="1433"/>
      <c r="C82" s="463"/>
      <c r="D82" s="470"/>
      <c r="E82" s="470"/>
      <c r="F82" s="1544"/>
      <c r="G82" s="1400"/>
      <c r="H82" s="1400"/>
      <c r="I82" s="496" t="s">
        <v>99</v>
      </c>
      <c r="J82" s="497"/>
      <c r="K82" s="497"/>
      <c r="L82" s="496" t="s">
        <v>96</v>
      </c>
      <c r="M82" s="879">
        <v>2</v>
      </c>
      <c r="N82" s="880">
        <v>480</v>
      </c>
      <c r="O82" s="1549"/>
      <c r="P82" s="1585"/>
      <c r="Q82" s="1585"/>
      <c r="R82" s="1588"/>
    </row>
    <row r="83" spans="1:18" ht="10.5" customHeight="1">
      <c r="A83" s="1426"/>
      <c r="B83" s="1431" t="s">
        <v>120</v>
      </c>
      <c r="C83" s="1487"/>
      <c r="D83" s="1488"/>
      <c r="E83" s="1489"/>
      <c r="F83" s="1486"/>
      <c r="G83" s="1449"/>
      <c r="H83" s="1449"/>
      <c r="I83" s="499" t="s">
        <v>94</v>
      </c>
      <c r="J83" s="500"/>
      <c r="K83" s="500"/>
      <c r="L83" s="1486"/>
      <c r="M83" s="1449"/>
      <c r="N83" s="1450"/>
      <c r="O83" s="1567"/>
      <c r="P83" s="1557"/>
      <c r="Q83" s="1557"/>
      <c r="R83" s="1561"/>
    </row>
    <row r="84" spans="1:18" ht="21" customHeight="1">
      <c r="A84" s="1426"/>
      <c r="B84" s="1432"/>
      <c r="C84" s="1440"/>
      <c r="D84" s="1441"/>
      <c r="E84" s="1442"/>
      <c r="F84" s="1397"/>
      <c r="G84" s="1399"/>
      <c r="H84" s="1399"/>
      <c r="I84" s="516" t="s">
        <v>98</v>
      </c>
      <c r="J84" s="493"/>
      <c r="K84" s="493"/>
      <c r="L84" s="1397"/>
      <c r="M84" s="1399"/>
      <c r="N84" s="1451"/>
      <c r="O84" s="1564"/>
      <c r="P84" s="1550"/>
      <c r="Q84" s="1550"/>
      <c r="R84" s="1552"/>
    </row>
    <row r="85" spans="1:18" ht="10.5" customHeight="1">
      <c r="A85" s="1426"/>
      <c r="B85" s="1432"/>
      <c r="C85" s="1443"/>
      <c r="D85" s="1444"/>
      <c r="E85" s="1445"/>
      <c r="F85" s="1397"/>
      <c r="G85" s="1399"/>
      <c r="H85" s="1399"/>
      <c r="I85" s="494" t="s">
        <v>703</v>
      </c>
      <c r="J85" s="495"/>
      <c r="K85" s="495"/>
      <c r="L85" s="1397"/>
      <c r="M85" s="1399"/>
      <c r="N85" s="1451"/>
      <c r="O85" s="1564"/>
      <c r="P85" s="1550"/>
      <c r="Q85" s="1550"/>
      <c r="R85" s="1552"/>
    </row>
    <row r="86" spans="1:18" ht="10.5" customHeight="1" thickBot="1">
      <c r="A86" s="1427"/>
      <c r="B86" s="1448"/>
      <c r="C86" s="506"/>
      <c r="D86" s="469"/>
      <c r="E86" s="469"/>
      <c r="F86" s="1406"/>
      <c r="G86" s="1407"/>
      <c r="H86" s="1407"/>
      <c r="I86" s="509" t="s">
        <v>99</v>
      </c>
      <c r="J86" s="508"/>
      <c r="K86" s="508"/>
      <c r="L86" s="1406"/>
      <c r="M86" s="1407"/>
      <c r="N86" s="1505"/>
      <c r="O86" s="1589"/>
      <c r="P86" s="1590"/>
      <c r="Q86" s="1590"/>
      <c r="R86" s="1591"/>
    </row>
    <row r="87" spans="1:18" ht="15" customHeight="1">
      <c r="A87" s="274"/>
      <c r="B87" s="275"/>
      <c r="C87" s="276"/>
      <c r="D87" s="276"/>
      <c r="E87" s="276"/>
      <c r="F87" s="277"/>
      <c r="G87" s="278"/>
      <c r="H87" s="278"/>
      <c r="I87" s="279"/>
      <c r="J87" s="278"/>
      <c r="K87" s="278"/>
      <c r="L87" s="277"/>
      <c r="M87" s="278"/>
      <c r="N87" s="278"/>
      <c r="O87" s="280"/>
      <c r="P87" s="281"/>
      <c r="Q87" s="281"/>
      <c r="R87" s="281"/>
    </row>
    <row r="88" spans="1:18" ht="12.75" customHeight="1">
      <c r="A88" s="274"/>
      <c r="B88" s="1592" t="s">
        <v>1077</v>
      </c>
      <c r="C88" s="1592"/>
      <c r="D88" s="1592"/>
      <c r="E88" s="1592"/>
      <c r="F88" s="1592"/>
      <c r="G88" s="1592"/>
      <c r="H88" s="1592"/>
      <c r="I88" s="1592"/>
      <c r="J88" s="1592"/>
      <c r="K88" s="1592"/>
      <c r="L88" s="1592"/>
      <c r="M88" s="1592"/>
      <c r="N88" s="1592"/>
      <c r="O88" s="1592"/>
      <c r="P88" s="1592"/>
      <c r="Q88" s="1592"/>
      <c r="R88" s="1592"/>
    </row>
    <row r="89" spans="1:18" ht="12.75" customHeight="1">
      <c r="A89" s="274"/>
      <c r="B89" s="1592"/>
      <c r="C89" s="1592"/>
      <c r="D89" s="1592"/>
      <c r="E89" s="1592"/>
      <c r="F89" s="1592"/>
      <c r="G89" s="1592"/>
      <c r="H89" s="1592"/>
      <c r="I89" s="1592"/>
      <c r="J89" s="1592"/>
      <c r="K89" s="1592"/>
      <c r="L89" s="1592"/>
      <c r="M89" s="1592"/>
      <c r="N89" s="1592"/>
      <c r="O89" s="1592"/>
      <c r="P89" s="1592"/>
      <c r="Q89" s="1592"/>
      <c r="R89" s="1592"/>
    </row>
    <row r="90" spans="1:18" ht="14.25" thickBot="1">
      <c r="A90" s="1413" t="s">
        <v>893</v>
      </c>
      <c r="B90" s="1413"/>
      <c r="C90" s="1413"/>
      <c r="D90" s="1413"/>
      <c r="E90" s="1413"/>
      <c r="F90" s="1413"/>
      <c r="G90" s="1413"/>
      <c r="H90" s="1413"/>
      <c r="I90" s="1413"/>
      <c r="J90" s="1413"/>
      <c r="K90" s="1413"/>
      <c r="L90" s="1413"/>
      <c r="M90" s="1413"/>
      <c r="N90" s="1413"/>
      <c r="O90" s="1413"/>
      <c r="P90" s="1413"/>
      <c r="Q90" s="1413"/>
      <c r="R90" s="1413"/>
    </row>
    <row r="91" spans="1:18" ht="24" customHeight="1">
      <c r="A91" s="1414" t="s">
        <v>73</v>
      </c>
      <c r="B91" s="1415"/>
      <c r="C91" s="1529" t="s">
        <v>74</v>
      </c>
      <c r="D91" s="1530"/>
      <c r="E91" s="1531"/>
      <c r="F91" s="1532" t="s">
        <v>75</v>
      </c>
      <c r="G91" s="1533"/>
      <c r="H91" s="1534"/>
      <c r="I91" s="1421" t="s">
        <v>76</v>
      </c>
      <c r="J91" s="1422"/>
      <c r="K91" s="1423"/>
      <c r="L91" s="1421" t="s">
        <v>77</v>
      </c>
      <c r="M91" s="1422"/>
      <c r="N91" s="1424"/>
      <c r="O91" s="1535" t="s">
        <v>78</v>
      </c>
      <c r="P91" s="1535"/>
      <c r="Q91" s="1535"/>
      <c r="R91" s="1536"/>
    </row>
    <row r="92" spans="1:18" ht="30" customHeight="1" thickBot="1">
      <c r="A92" s="1416"/>
      <c r="B92" s="1417"/>
      <c r="C92" s="271" t="s">
        <v>79</v>
      </c>
      <c r="D92" s="263" t="s">
        <v>80</v>
      </c>
      <c r="E92" s="263" t="s">
        <v>81</v>
      </c>
      <c r="F92" s="264" t="s">
        <v>82</v>
      </c>
      <c r="G92" s="264" t="s">
        <v>83</v>
      </c>
      <c r="H92" s="264" t="s">
        <v>84</v>
      </c>
      <c r="I92" s="265" t="s">
        <v>82</v>
      </c>
      <c r="J92" s="265" t="s">
        <v>85</v>
      </c>
      <c r="K92" s="272" t="s">
        <v>86</v>
      </c>
      <c r="L92" s="265" t="s">
        <v>87</v>
      </c>
      <c r="M92" s="265" t="s">
        <v>83</v>
      </c>
      <c r="N92" s="273" t="s">
        <v>88</v>
      </c>
      <c r="O92" s="268" t="s">
        <v>89</v>
      </c>
      <c r="P92" s="269" t="s">
        <v>90</v>
      </c>
      <c r="Q92" s="269" t="s">
        <v>55</v>
      </c>
      <c r="R92" s="270" t="s">
        <v>91</v>
      </c>
    </row>
    <row r="93" spans="1:18" ht="62.25" customHeight="1">
      <c r="A93" s="1425" t="s">
        <v>7</v>
      </c>
      <c r="B93" s="1525" t="s">
        <v>93</v>
      </c>
      <c r="C93" s="1437" t="s">
        <v>894</v>
      </c>
      <c r="D93" s="1438"/>
      <c r="E93" s="1439"/>
      <c r="F93" s="1446" t="s">
        <v>901</v>
      </c>
      <c r="G93" s="1447" t="s">
        <v>902</v>
      </c>
      <c r="H93" s="1447" t="s">
        <v>903</v>
      </c>
      <c r="I93" s="499" t="s">
        <v>94</v>
      </c>
      <c r="J93" s="491">
        <v>40</v>
      </c>
      <c r="K93" s="491">
        <v>130</v>
      </c>
      <c r="L93" s="1446" t="s">
        <v>904</v>
      </c>
      <c r="M93" s="1447" t="s">
        <v>906</v>
      </c>
      <c r="N93" s="1598" t="s">
        <v>905</v>
      </c>
      <c r="O93" s="1465"/>
      <c r="P93" s="1595">
        <v>1068</v>
      </c>
      <c r="Q93" s="1595">
        <v>2877</v>
      </c>
      <c r="R93" s="1462">
        <f>SUM(P93:Q93)</f>
        <v>3945</v>
      </c>
    </row>
    <row r="94" spans="1:18" ht="62.25" customHeight="1">
      <c r="A94" s="1426"/>
      <c r="B94" s="1432"/>
      <c r="C94" s="1440"/>
      <c r="D94" s="1441"/>
      <c r="E94" s="1442"/>
      <c r="F94" s="1409"/>
      <c r="G94" s="1402"/>
      <c r="H94" s="1402"/>
      <c r="I94" s="492" t="s">
        <v>98</v>
      </c>
      <c r="J94" s="493">
        <v>2</v>
      </c>
      <c r="K94" s="493">
        <v>4</v>
      </c>
      <c r="L94" s="1409"/>
      <c r="M94" s="1402"/>
      <c r="N94" s="1527"/>
      <c r="O94" s="1466"/>
      <c r="P94" s="1596"/>
      <c r="Q94" s="1596"/>
      <c r="R94" s="1587"/>
    </row>
    <row r="95" spans="1:18" ht="62.25" customHeight="1">
      <c r="A95" s="1426"/>
      <c r="B95" s="1432"/>
      <c r="C95" s="1443"/>
      <c r="D95" s="1444"/>
      <c r="E95" s="1445"/>
      <c r="F95" s="1409"/>
      <c r="G95" s="1402"/>
      <c r="H95" s="1402"/>
      <c r="I95" s="594" t="s">
        <v>703</v>
      </c>
      <c r="J95" s="495">
        <v>1</v>
      </c>
      <c r="K95" s="495">
        <v>2</v>
      </c>
      <c r="L95" s="1409"/>
      <c r="M95" s="1402"/>
      <c r="N95" s="1527"/>
      <c r="O95" s="1466"/>
      <c r="P95" s="1596"/>
      <c r="Q95" s="1596"/>
      <c r="R95" s="1587"/>
    </row>
    <row r="96" spans="1:18" ht="18.75" customHeight="1">
      <c r="A96" s="1426"/>
      <c r="B96" s="1433"/>
      <c r="C96" s="591">
        <v>160</v>
      </c>
      <c r="D96" s="592">
        <v>220</v>
      </c>
      <c r="E96" s="592"/>
      <c r="F96" s="496" t="s">
        <v>99</v>
      </c>
      <c r="G96" s="497">
        <f>36+15+10+15+44+15+20+15+15+1+6+5+1+5</f>
        <v>203</v>
      </c>
      <c r="H96" s="918">
        <f>360+45+50+45+440+45+50+45+225+30+120+75+40+100</f>
        <v>1670</v>
      </c>
      <c r="I96" s="496" t="s">
        <v>99</v>
      </c>
      <c r="J96" s="497">
        <f>SUM(J93:J95)</f>
        <v>43</v>
      </c>
      <c r="K96" s="497">
        <f>SUM(K93:K95)</f>
        <v>136</v>
      </c>
      <c r="L96" s="496" t="s">
        <v>99</v>
      </c>
      <c r="M96" s="497">
        <f>12+1+1+4+1+20</f>
        <v>39</v>
      </c>
      <c r="N96" s="918">
        <f>300+32+80+150+3500+70</f>
        <v>4132</v>
      </c>
      <c r="O96" s="1467"/>
      <c r="P96" s="1597"/>
      <c r="Q96" s="1597"/>
      <c r="R96" s="1588"/>
    </row>
    <row r="97" spans="1:18" ht="10.5" customHeight="1">
      <c r="A97" s="1426"/>
      <c r="B97" s="1431" t="s">
        <v>97</v>
      </c>
      <c r="C97" s="1477"/>
      <c r="D97" s="1478"/>
      <c r="E97" s="1479"/>
      <c r="F97" s="1449"/>
      <c r="G97" s="1449"/>
      <c r="H97" s="1449"/>
      <c r="I97" s="499" t="s">
        <v>94</v>
      </c>
      <c r="J97" s="500"/>
      <c r="K97" s="500"/>
      <c r="L97" s="1486"/>
      <c r="M97" s="1449"/>
      <c r="N97" s="1450"/>
      <c r="O97" s="1599"/>
      <c r="P97" s="1602"/>
      <c r="Q97" s="1602"/>
      <c r="R97" s="1603"/>
    </row>
    <row r="98" spans="1:18" ht="21" customHeight="1">
      <c r="A98" s="1426"/>
      <c r="B98" s="1432"/>
      <c r="C98" s="1480"/>
      <c r="D98" s="1481"/>
      <c r="E98" s="1482"/>
      <c r="F98" s="1399"/>
      <c r="G98" s="1399"/>
      <c r="H98" s="1399"/>
      <c r="I98" s="492" t="s">
        <v>98</v>
      </c>
      <c r="J98" s="493"/>
      <c r="K98" s="493"/>
      <c r="L98" s="1397"/>
      <c r="M98" s="1399"/>
      <c r="N98" s="1451"/>
      <c r="O98" s="1600"/>
      <c r="P98" s="1584"/>
      <c r="Q98" s="1584"/>
      <c r="R98" s="1587"/>
    </row>
    <row r="99" spans="1:18" ht="10.5" customHeight="1">
      <c r="A99" s="1426"/>
      <c r="B99" s="1432"/>
      <c r="C99" s="1483"/>
      <c r="D99" s="1484"/>
      <c r="E99" s="1485"/>
      <c r="F99" s="1399"/>
      <c r="G99" s="1399"/>
      <c r="H99" s="1399"/>
      <c r="I99" s="494" t="s">
        <v>703</v>
      </c>
      <c r="J99" s="495"/>
      <c r="K99" s="495"/>
      <c r="L99" s="1397"/>
      <c r="M99" s="1399"/>
      <c r="N99" s="1451"/>
      <c r="O99" s="1600"/>
      <c r="P99" s="1584"/>
      <c r="Q99" s="1584"/>
      <c r="R99" s="1587"/>
    </row>
    <row r="100" spans="1:18" ht="10.5" customHeight="1">
      <c r="A100" s="1426"/>
      <c r="B100" s="1433"/>
      <c r="C100" s="463"/>
      <c r="D100" s="470"/>
      <c r="E100" s="470"/>
      <c r="F100" s="1400"/>
      <c r="G100" s="1400"/>
      <c r="H100" s="1400"/>
      <c r="I100" s="496" t="s">
        <v>99</v>
      </c>
      <c r="J100" s="497"/>
      <c r="K100" s="497"/>
      <c r="L100" s="1398"/>
      <c r="M100" s="1400"/>
      <c r="N100" s="1452"/>
      <c r="O100" s="1601"/>
      <c r="P100" s="1585"/>
      <c r="Q100" s="1585"/>
      <c r="R100" s="1588"/>
    </row>
    <row r="101" spans="1:18" ht="21" customHeight="1">
      <c r="A101" s="1426"/>
      <c r="B101" s="1431" t="s">
        <v>39</v>
      </c>
      <c r="C101" s="1487" t="s">
        <v>917</v>
      </c>
      <c r="D101" s="1488"/>
      <c r="E101" s="1489"/>
      <c r="F101" s="1497" t="s">
        <v>918</v>
      </c>
      <c r="G101" s="1401" t="s">
        <v>919</v>
      </c>
      <c r="H101" s="1593" t="s">
        <v>920</v>
      </c>
      <c r="I101" s="499" t="s">
        <v>94</v>
      </c>
      <c r="J101" s="501"/>
      <c r="K101" s="501"/>
      <c r="L101" s="1607" t="s">
        <v>916</v>
      </c>
      <c r="M101" s="1404">
        <v>70</v>
      </c>
      <c r="N101" s="1411">
        <v>600</v>
      </c>
      <c r="O101" s="1604"/>
      <c r="P101" s="1472">
        <v>184</v>
      </c>
      <c r="Q101" s="1472"/>
      <c r="R101" s="1471">
        <f>SUM(O101:Q104)</f>
        <v>184</v>
      </c>
    </row>
    <row r="102" spans="1:18" ht="21" customHeight="1">
      <c r="A102" s="1426"/>
      <c r="B102" s="1432"/>
      <c r="C102" s="1440"/>
      <c r="D102" s="1441"/>
      <c r="E102" s="1442"/>
      <c r="F102" s="1498"/>
      <c r="G102" s="1402"/>
      <c r="H102" s="1594"/>
      <c r="I102" s="492" t="s">
        <v>95</v>
      </c>
      <c r="J102" s="493"/>
      <c r="K102" s="493"/>
      <c r="L102" s="1608"/>
      <c r="M102" s="1405"/>
      <c r="N102" s="1412"/>
      <c r="O102" s="1605"/>
      <c r="P102" s="1472"/>
      <c r="Q102" s="1472"/>
      <c r="R102" s="1471"/>
    </row>
    <row r="103" spans="1:18" ht="21" customHeight="1">
      <c r="A103" s="1426"/>
      <c r="B103" s="1432"/>
      <c r="C103" s="1443"/>
      <c r="D103" s="1444"/>
      <c r="E103" s="1445"/>
      <c r="F103" s="1499"/>
      <c r="G103" s="1402"/>
      <c r="H103" s="1594"/>
      <c r="I103" s="494" t="s">
        <v>703</v>
      </c>
      <c r="J103" s="495">
        <v>20</v>
      </c>
      <c r="K103" s="495">
        <v>50</v>
      </c>
      <c r="L103" s="1608"/>
      <c r="M103" s="1405"/>
      <c r="N103" s="1412"/>
      <c r="O103" s="1605"/>
      <c r="P103" s="1472"/>
      <c r="Q103" s="1472"/>
      <c r="R103" s="1471"/>
    </row>
    <row r="104" spans="1:18" ht="18" customHeight="1">
      <c r="A104" s="1426"/>
      <c r="B104" s="1432"/>
      <c r="C104" s="488">
        <v>132</v>
      </c>
      <c r="D104" s="502">
        <v>179</v>
      </c>
      <c r="E104" s="502">
        <v>0</v>
      </c>
      <c r="F104" s="496" t="s">
        <v>99</v>
      </c>
      <c r="G104" s="497">
        <f>1+5+6+1</f>
        <v>13</v>
      </c>
      <c r="H104" s="497">
        <f>130+120+60+100</f>
        <v>410</v>
      </c>
      <c r="I104" s="503" t="s">
        <v>99</v>
      </c>
      <c r="J104" s="498">
        <f>SUM(J101:J103)</f>
        <v>20</v>
      </c>
      <c r="K104" s="504">
        <f>SUM(K101:K103)</f>
        <v>50</v>
      </c>
      <c r="L104" s="496" t="s">
        <v>99</v>
      </c>
      <c r="M104" s="497">
        <v>70</v>
      </c>
      <c r="N104" s="854">
        <v>600</v>
      </c>
      <c r="O104" s="1606"/>
      <c r="P104" s="1472"/>
      <c r="Q104" s="1472"/>
      <c r="R104" s="1471"/>
    </row>
    <row r="105" spans="1:18" ht="10.5" customHeight="1">
      <c r="A105" s="1426"/>
      <c r="B105" s="1431" t="s">
        <v>100</v>
      </c>
      <c r="C105" s="1477"/>
      <c r="D105" s="1478"/>
      <c r="E105" s="1479"/>
      <c r="F105" s="1449"/>
      <c r="G105" s="1449"/>
      <c r="H105" s="1449"/>
      <c r="I105" s="499" t="s">
        <v>94</v>
      </c>
      <c r="J105" s="500"/>
      <c r="K105" s="500"/>
      <c r="L105" s="1486"/>
      <c r="M105" s="1449"/>
      <c r="N105" s="1450"/>
      <c r="O105" s="1599"/>
      <c r="P105" s="1602"/>
      <c r="Q105" s="1602"/>
      <c r="R105" s="1603"/>
    </row>
    <row r="106" spans="1:18" ht="21" customHeight="1">
      <c r="A106" s="1426"/>
      <c r="B106" s="1432"/>
      <c r="C106" s="1480"/>
      <c r="D106" s="1481"/>
      <c r="E106" s="1482"/>
      <c r="F106" s="1399"/>
      <c r="G106" s="1399"/>
      <c r="H106" s="1399"/>
      <c r="I106" s="492" t="s">
        <v>98</v>
      </c>
      <c r="J106" s="493"/>
      <c r="K106" s="493"/>
      <c r="L106" s="1397"/>
      <c r="M106" s="1399"/>
      <c r="N106" s="1451"/>
      <c r="O106" s="1600"/>
      <c r="P106" s="1584"/>
      <c r="Q106" s="1584"/>
      <c r="R106" s="1587"/>
    </row>
    <row r="107" spans="1:18" ht="10.5" customHeight="1">
      <c r="A107" s="1426"/>
      <c r="B107" s="1432"/>
      <c r="C107" s="1483"/>
      <c r="D107" s="1484"/>
      <c r="E107" s="1485"/>
      <c r="F107" s="1399"/>
      <c r="G107" s="1399"/>
      <c r="H107" s="1399"/>
      <c r="I107" s="494" t="s">
        <v>703</v>
      </c>
      <c r="J107" s="495"/>
      <c r="K107" s="495"/>
      <c r="L107" s="1397"/>
      <c r="M107" s="1399"/>
      <c r="N107" s="1451"/>
      <c r="O107" s="1600"/>
      <c r="P107" s="1584"/>
      <c r="Q107" s="1584"/>
      <c r="R107" s="1587"/>
    </row>
    <row r="108" spans="1:18" ht="10.5" customHeight="1">
      <c r="A108" s="1426"/>
      <c r="B108" s="1433"/>
      <c r="C108" s="463"/>
      <c r="D108" s="470"/>
      <c r="E108" s="470"/>
      <c r="F108" s="1400"/>
      <c r="G108" s="1400"/>
      <c r="H108" s="1400"/>
      <c r="I108" s="496" t="s">
        <v>99</v>
      </c>
      <c r="J108" s="497"/>
      <c r="K108" s="497"/>
      <c r="L108" s="1398"/>
      <c r="M108" s="1400"/>
      <c r="N108" s="1452"/>
      <c r="O108" s="1601"/>
      <c r="P108" s="1585"/>
      <c r="Q108" s="1585"/>
      <c r="R108" s="1588"/>
    </row>
    <row r="109" spans="1:18" ht="10.5" customHeight="1">
      <c r="A109" s="1426"/>
      <c r="B109" s="1431" t="s">
        <v>101</v>
      </c>
      <c r="C109" s="1480"/>
      <c r="D109" s="1481"/>
      <c r="E109" s="1482"/>
      <c r="F109" s="1399"/>
      <c r="G109" s="1399"/>
      <c r="H109" s="1399"/>
      <c r="I109" s="499" t="s">
        <v>94</v>
      </c>
      <c r="J109" s="501"/>
      <c r="K109" s="501"/>
      <c r="L109" s="1397"/>
      <c r="M109" s="1399"/>
      <c r="N109" s="1451"/>
      <c r="O109" s="1600"/>
      <c r="P109" s="1584"/>
      <c r="Q109" s="1584"/>
      <c r="R109" s="1587"/>
    </row>
    <row r="110" spans="1:18" ht="21" customHeight="1">
      <c r="A110" s="1426"/>
      <c r="B110" s="1432"/>
      <c r="C110" s="1480"/>
      <c r="D110" s="1481"/>
      <c r="E110" s="1482"/>
      <c r="F110" s="1399"/>
      <c r="G110" s="1399"/>
      <c r="H110" s="1399"/>
      <c r="I110" s="492" t="s">
        <v>98</v>
      </c>
      <c r="J110" s="493"/>
      <c r="K110" s="493"/>
      <c r="L110" s="1397"/>
      <c r="M110" s="1399"/>
      <c r="N110" s="1451"/>
      <c r="O110" s="1600"/>
      <c r="P110" s="1584"/>
      <c r="Q110" s="1584"/>
      <c r="R110" s="1587"/>
    </row>
    <row r="111" spans="1:18" ht="10.5" customHeight="1">
      <c r="A111" s="1426"/>
      <c r="B111" s="1432"/>
      <c r="C111" s="1483"/>
      <c r="D111" s="1484"/>
      <c r="E111" s="1485"/>
      <c r="F111" s="1399"/>
      <c r="G111" s="1399"/>
      <c r="H111" s="1399"/>
      <c r="I111" s="494" t="s">
        <v>703</v>
      </c>
      <c r="J111" s="495"/>
      <c r="K111" s="495"/>
      <c r="L111" s="1397"/>
      <c r="M111" s="1399"/>
      <c r="N111" s="1451"/>
      <c r="O111" s="1600"/>
      <c r="P111" s="1584"/>
      <c r="Q111" s="1584"/>
      <c r="R111" s="1587"/>
    </row>
    <row r="112" spans="1:18" ht="10.5" customHeight="1" thickBot="1">
      <c r="A112" s="1427"/>
      <c r="B112" s="1448"/>
      <c r="C112" s="506"/>
      <c r="D112" s="469"/>
      <c r="E112" s="469"/>
      <c r="F112" s="1407"/>
      <c r="G112" s="1407"/>
      <c r="H112" s="1407"/>
      <c r="I112" s="509" t="s">
        <v>99</v>
      </c>
      <c r="J112" s="508"/>
      <c r="K112" s="508"/>
      <c r="L112" s="1406"/>
      <c r="M112" s="1407"/>
      <c r="N112" s="1505"/>
      <c r="O112" s="1609"/>
      <c r="P112" s="1610"/>
      <c r="Q112" s="1610"/>
      <c r="R112" s="1611"/>
    </row>
    <row r="113" spans="1:18" ht="10.5" customHeight="1">
      <c r="A113" s="1425" t="s">
        <v>121</v>
      </c>
      <c r="B113" s="1525" t="s">
        <v>103</v>
      </c>
      <c r="C113" s="1437"/>
      <c r="D113" s="1438"/>
      <c r="E113" s="1439"/>
      <c r="F113" s="1547"/>
      <c r="G113" s="1410"/>
      <c r="H113" s="1410"/>
      <c r="I113" s="499" t="s">
        <v>94</v>
      </c>
      <c r="J113" s="491"/>
      <c r="K113" s="491"/>
      <c r="L113" s="1410"/>
      <c r="M113" s="1410"/>
      <c r="N113" s="1511"/>
      <c r="O113" s="1612"/>
      <c r="P113" s="1613"/>
      <c r="Q113" s="1614"/>
      <c r="R113" s="1615"/>
    </row>
    <row r="114" spans="1:18" ht="21" customHeight="1">
      <c r="A114" s="1426"/>
      <c r="B114" s="1432"/>
      <c r="C114" s="1440"/>
      <c r="D114" s="1441"/>
      <c r="E114" s="1442"/>
      <c r="F114" s="1397"/>
      <c r="G114" s="1399"/>
      <c r="H114" s="1399"/>
      <c r="I114" s="492" t="s">
        <v>98</v>
      </c>
      <c r="J114" s="493"/>
      <c r="K114" s="493"/>
      <c r="L114" s="1399"/>
      <c r="M114" s="1399"/>
      <c r="N114" s="1451"/>
      <c r="O114" s="1503"/>
      <c r="P114" s="1429"/>
      <c r="Q114" s="1429"/>
      <c r="R114" s="1474"/>
    </row>
    <row r="115" spans="1:18" ht="10.5" customHeight="1">
      <c r="A115" s="1426"/>
      <c r="B115" s="1432"/>
      <c r="C115" s="1443"/>
      <c r="D115" s="1444"/>
      <c r="E115" s="1445"/>
      <c r="F115" s="1397"/>
      <c r="G115" s="1399"/>
      <c r="H115" s="1399"/>
      <c r="I115" s="494" t="s">
        <v>703</v>
      </c>
      <c r="J115" s="495"/>
      <c r="K115" s="495"/>
      <c r="L115" s="1399"/>
      <c r="M115" s="1399"/>
      <c r="N115" s="1451"/>
      <c r="O115" s="1503"/>
      <c r="P115" s="1429"/>
      <c r="Q115" s="1429"/>
      <c r="R115" s="1474"/>
    </row>
    <row r="116" spans="1:18" ht="10.5" customHeight="1">
      <c r="A116" s="1426"/>
      <c r="B116" s="1433"/>
      <c r="C116" s="463"/>
      <c r="D116" s="470"/>
      <c r="E116" s="470"/>
      <c r="F116" s="1398"/>
      <c r="G116" s="1400"/>
      <c r="H116" s="1400"/>
      <c r="I116" s="496" t="s">
        <v>99</v>
      </c>
      <c r="J116" s="497"/>
      <c r="K116" s="497"/>
      <c r="L116" s="1400"/>
      <c r="M116" s="1400"/>
      <c r="N116" s="1452"/>
      <c r="O116" s="1504"/>
      <c r="P116" s="1430"/>
      <c r="Q116" s="1430"/>
      <c r="R116" s="1475"/>
    </row>
    <row r="117" spans="1:18" ht="10.5" customHeight="1">
      <c r="A117" s="1426"/>
      <c r="B117" s="1431" t="s">
        <v>104</v>
      </c>
      <c r="C117" s="1480"/>
      <c r="D117" s="1481"/>
      <c r="E117" s="1482"/>
      <c r="F117" s="1399"/>
      <c r="G117" s="1399"/>
      <c r="H117" s="1399"/>
      <c r="I117" s="499" t="s">
        <v>94</v>
      </c>
      <c r="J117" s="501"/>
      <c r="K117" s="501"/>
      <c r="L117" s="1397"/>
      <c r="M117" s="1399"/>
      <c r="N117" s="1451"/>
      <c r="O117" s="1600"/>
      <c r="P117" s="1584"/>
      <c r="Q117" s="1584"/>
      <c r="R117" s="1587"/>
    </row>
    <row r="118" spans="1:18" ht="21" customHeight="1">
      <c r="A118" s="1426"/>
      <c r="B118" s="1432"/>
      <c r="C118" s="1480"/>
      <c r="D118" s="1481"/>
      <c r="E118" s="1482"/>
      <c r="F118" s="1399"/>
      <c r="G118" s="1399"/>
      <c r="H118" s="1399"/>
      <c r="I118" s="492" t="s">
        <v>98</v>
      </c>
      <c r="J118" s="493"/>
      <c r="K118" s="493"/>
      <c r="L118" s="1397"/>
      <c r="M118" s="1399"/>
      <c r="N118" s="1451"/>
      <c r="O118" s="1600"/>
      <c r="P118" s="1584"/>
      <c r="Q118" s="1584"/>
      <c r="R118" s="1587"/>
    </row>
    <row r="119" spans="1:18" ht="10.5" customHeight="1">
      <c r="A119" s="1426"/>
      <c r="B119" s="1432"/>
      <c r="C119" s="1483"/>
      <c r="D119" s="1484"/>
      <c r="E119" s="1485"/>
      <c r="F119" s="1399"/>
      <c r="G119" s="1399"/>
      <c r="H119" s="1399"/>
      <c r="I119" s="494" t="s">
        <v>702</v>
      </c>
      <c r="J119" s="495"/>
      <c r="K119" s="495"/>
      <c r="L119" s="1397"/>
      <c r="M119" s="1399"/>
      <c r="N119" s="1451"/>
      <c r="O119" s="1600"/>
      <c r="P119" s="1584"/>
      <c r="Q119" s="1584"/>
      <c r="R119" s="1587"/>
    </row>
    <row r="120" spans="1:18" ht="10.5" customHeight="1">
      <c r="A120" s="1426"/>
      <c r="B120" s="1433"/>
      <c r="C120" s="463"/>
      <c r="D120" s="470"/>
      <c r="E120" s="470"/>
      <c r="F120" s="1400"/>
      <c r="G120" s="1400"/>
      <c r="H120" s="1400"/>
      <c r="I120" s="496" t="s">
        <v>99</v>
      </c>
      <c r="J120" s="497"/>
      <c r="K120" s="497"/>
      <c r="L120" s="1398"/>
      <c r="M120" s="1400"/>
      <c r="N120" s="1452"/>
      <c r="O120" s="1601"/>
      <c r="P120" s="1585"/>
      <c r="Q120" s="1585"/>
      <c r="R120" s="1588"/>
    </row>
    <row r="121" spans="1:18" ht="10.5" customHeight="1">
      <c r="A121" s="1426"/>
      <c r="B121" s="1431" t="s">
        <v>105</v>
      </c>
      <c r="C121" s="1487"/>
      <c r="D121" s="1488"/>
      <c r="E121" s="1489"/>
      <c r="F121" s="1408" t="s">
        <v>788</v>
      </c>
      <c r="G121" s="1401" t="s">
        <v>789</v>
      </c>
      <c r="H121" s="1401" t="s">
        <v>841</v>
      </c>
      <c r="I121" s="499" t="s">
        <v>94</v>
      </c>
      <c r="J121" s="500"/>
      <c r="K121" s="500"/>
      <c r="L121" s="1408" t="s">
        <v>106</v>
      </c>
      <c r="M121" s="1401">
        <v>5</v>
      </c>
      <c r="N121" s="1558">
        <v>300</v>
      </c>
      <c r="O121" s="1468"/>
      <c r="P121" s="1428">
        <v>180</v>
      </c>
      <c r="Q121" s="1428"/>
      <c r="R121" s="1473">
        <f>SUM(P121:Q121)</f>
        <v>180</v>
      </c>
    </row>
    <row r="122" spans="1:18" ht="21" customHeight="1">
      <c r="A122" s="1426"/>
      <c r="B122" s="1432"/>
      <c r="C122" s="1440"/>
      <c r="D122" s="1441"/>
      <c r="E122" s="1442"/>
      <c r="F122" s="1409"/>
      <c r="G122" s="1402"/>
      <c r="H122" s="1402"/>
      <c r="I122" s="492" t="s">
        <v>98</v>
      </c>
      <c r="J122" s="493"/>
      <c r="K122" s="493"/>
      <c r="L122" s="1409"/>
      <c r="M122" s="1402"/>
      <c r="N122" s="1559"/>
      <c r="O122" s="1469"/>
      <c r="P122" s="1429"/>
      <c r="Q122" s="1429"/>
      <c r="R122" s="1474"/>
    </row>
    <row r="123" spans="1:18" ht="12" customHeight="1">
      <c r="A123" s="1426"/>
      <c r="B123" s="1432"/>
      <c r="C123" s="1443"/>
      <c r="D123" s="1444"/>
      <c r="E123" s="1445"/>
      <c r="F123" s="1409"/>
      <c r="G123" s="1403"/>
      <c r="H123" s="1403"/>
      <c r="I123" s="494" t="s">
        <v>701</v>
      </c>
      <c r="J123" s="495"/>
      <c r="K123" s="495"/>
      <c r="L123" s="1409"/>
      <c r="M123" s="1403"/>
      <c r="N123" s="1560"/>
      <c r="O123" s="1469"/>
      <c r="P123" s="1429"/>
      <c r="Q123" s="1429"/>
      <c r="R123" s="1474"/>
    </row>
    <row r="124" spans="1:18" ht="10.5" customHeight="1">
      <c r="A124" s="1426"/>
      <c r="B124" s="1433"/>
      <c r="C124" s="463"/>
      <c r="D124" s="470"/>
      <c r="E124" s="470">
        <v>0</v>
      </c>
      <c r="F124" s="496" t="s">
        <v>96</v>
      </c>
      <c r="G124" s="852">
        <v>7</v>
      </c>
      <c r="H124" s="853">
        <v>350</v>
      </c>
      <c r="I124" s="496" t="s">
        <v>99</v>
      </c>
      <c r="J124" s="497"/>
      <c r="K124" s="497"/>
      <c r="L124" s="496" t="s">
        <v>96</v>
      </c>
      <c r="M124" s="852">
        <v>5</v>
      </c>
      <c r="N124" s="855">
        <v>300</v>
      </c>
      <c r="O124" s="1470"/>
      <c r="P124" s="1430"/>
      <c r="Q124" s="1430"/>
      <c r="R124" s="1475"/>
    </row>
    <row r="125" spans="1:18" ht="15" customHeight="1">
      <c r="A125" s="1426"/>
      <c r="B125" s="1431" t="s">
        <v>42</v>
      </c>
      <c r="C125" s="1487"/>
      <c r="D125" s="1488"/>
      <c r="E125" s="1489"/>
      <c r="F125" s="1408" t="s">
        <v>107</v>
      </c>
      <c r="G125" s="1401">
        <v>20</v>
      </c>
      <c r="H125" s="1401">
        <v>280</v>
      </c>
      <c r="I125" s="499" t="s">
        <v>94</v>
      </c>
      <c r="J125" s="500"/>
      <c r="K125" s="500"/>
      <c r="L125" s="1408" t="s">
        <v>837</v>
      </c>
      <c r="M125" s="1401">
        <v>39</v>
      </c>
      <c r="N125" s="1522">
        <v>823</v>
      </c>
      <c r="O125" s="1503"/>
      <c r="P125" s="1428">
        <v>152</v>
      </c>
      <c r="Q125" s="1517"/>
      <c r="R125" s="1473">
        <f>SUM(P125:Q125)</f>
        <v>152</v>
      </c>
    </row>
    <row r="126" spans="1:18" ht="21" customHeight="1">
      <c r="A126" s="1426"/>
      <c r="B126" s="1432"/>
      <c r="C126" s="1440"/>
      <c r="D126" s="1441"/>
      <c r="E126" s="1442"/>
      <c r="F126" s="1409"/>
      <c r="G126" s="1402"/>
      <c r="H126" s="1402"/>
      <c r="I126" s="492" t="s">
        <v>98</v>
      </c>
      <c r="J126" s="493"/>
      <c r="K126" s="493"/>
      <c r="L126" s="1409"/>
      <c r="M126" s="1402"/>
      <c r="N126" s="1523"/>
      <c r="O126" s="1503"/>
      <c r="P126" s="1429"/>
      <c r="Q126" s="1429"/>
      <c r="R126" s="1474"/>
    </row>
    <row r="127" spans="1:18" ht="15" customHeight="1">
      <c r="A127" s="1426"/>
      <c r="B127" s="1432"/>
      <c r="C127" s="1443"/>
      <c r="D127" s="1444"/>
      <c r="E127" s="1445"/>
      <c r="F127" s="1409"/>
      <c r="G127" s="1403"/>
      <c r="H127" s="1403"/>
      <c r="I127" s="494" t="s">
        <v>701</v>
      </c>
      <c r="J127" s="495"/>
      <c r="K127" s="495"/>
      <c r="L127" s="1458"/>
      <c r="M127" s="1403"/>
      <c r="N127" s="1524"/>
      <c r="O127" s="1503"/>
      <c r="P127" s="1429"/>
      <c r="Q127" s="1429"/>
      <c r="R127" s="1474"/>
    </row>
    <row r="128" spans="1:18" ht="10.5" customHeight="1">
      <c r="A128" s="1426"/>
      <c r="B128" s="1433"/>
      <c r="C128" s="463">
        <v>16</v>
      </c>
      <c r="D128" s="470">
        <v>4</v>
      </c>
      <c r="E128" s="470">
        <v>2</v>
      </c>
      <c r="F128" s="496" t="s">
        <v>96</v>
      </c>
      <c r="G128" s="852">
        <v>20</v>
      </c>
      <c r="H128" s="853">
        <v>280</v>
      </c>
      <c r="I128" s="496" t="s">
        <v>99</v>
      </c>
      <c r="J128" s="497">
        <f>SUM(J125:J127)</f>
        <v>0</v>
      </c>
      <c r="K128" s="497">
        <f>SUM(K125:K127)</f>
        <v>0</v>
      </c>
      <c r="L128" s="496" t="s">
        <v>96</v>
      </c>
      <c r="M128" s="852">
        <v>39</v>
      </c>
      <c r="N128" s="853">
        <v>823</v>
      </c>
      <c r="O128" s="1504"/>
      <c r="P128" s="1430"/>
      <c r="Q128" s="1430"/>
      <c r="R128" s="1475"/>
    </row>
    <row r="129" spans="1:18" ht="23.25" customHeight="1">
      <c r="A129" s="1426"/>
      <c r="B129" s="1431" t="s">
        <v>108</v>
      </c>
      <c r="C129" s="1487" t="s">
        <v>923</v>
      </c>
      <c r="D129" s="1488"/>
      <c r="E129" s="1489"/>
      <c r="F129" s="1490" t="s">
        <v>924</v>
      </c>
      <c r="G129" s="1449">
        <v>12</v>
      </c>
      <c r="H129" s="1449">
        <v>159</v>
      </c>
      <c r="I129" s="499" t="s">
        <v>94</v>
      </c>
      <c r="J129" s="500"/>
      <c r="K129" s="500"/>
      <c r="L129" s="1408" t="s">
        <v>925</v>
      </c>
      <c r="M129" s="1519">
        <v>7</v>
      </c>
      <c r="N129" s="1514">
        <v>180</v>
      </c>
      <c r="O129" s="1503"/>
      <c r="P129" s="1428">
        <v>139</v>
      </c>
      <c r="Q129" s="1517">
        <v>12</v>
      </c>
      <c r="R129" s="1473">
        <f>SUM(P129:Q129)</f>
        <v>151</v>
      </c>
    </row>
    <row r="130" spans="1:18" ht="23.25" customHeight="1">
      <c r="A130" s="1426"/>
      <c r="B130" s="1432"/>
      <c r="C130" s="1440"/>
      <c r="D130" s="1441"/>
      <c r="E130" s="1442"/>
      <c r="F130" s="1491"/>
      <c r="G130" s="1399"/>
      <c r="H130" s="1399"/>
      <c r="I130" s="492" t="s">
        <v>98</v>
      </c>
      <c r="J130" s="493"/>
      <c r="K130" s="493"/>
      <c r="L130" s="1409"/>
      <c r="M130" s="1520"/>
      <c r="N130" s="1515"/>
      <c r="O130" s="1503"/>
      <c r="P130" s="1429"/>
      <c r="Q130" s="1429"/>
      <c r="R130" s="1474"/>
    </row>
    <row r="131" spans="1:18" ht="23.25" customHeight="1">
      <c r="A131" s="1426"/>
      <c r="B131" s="1432"/>
      <c r="C131" s="1443"/>
      <c r="D131" s="1444"/>
      <c r="E131" s="1445"/>
      <c r="F131" s="1582"/>
      <c r="G131" s="1400"/>
      <c r="H131" s="1400"/>
      <c r="I131" s="505" t="s">
        <v>594</v>
      </c>
      <c r="J131" s="495">
        <v>3</v>
      </c>
      <c r="K131" s="495">
        <v>35</v>
      </c>
      <c r="L131" s="1409"/>
      <c r="M131" s="1521"/>
      <c r="N131" s="1516"/>
      <c r="O131" s="1503"/>
      <c r="P131" s="1429"/>
      <c r="Q131" s="1429"/>
      <c r="R131" s="1474"/>
    </row>
    <row r="132" spans="1:18" ht="10.5" customHeight="1">
      <c r="A132" s="1426"/>
      <c r="B132" s="1433"/>
      <c r="C132" s="463">
        <v>15</v>
      </c>
      <c r="D132" s="470">
        <v>36</v>
      </c>
      <c r="E132" s="470"/>
      <c r="F132" s="496" t="s">
        <v>96</v>
      </c>
      <c r="G132" s="852">
        <v>12</v>
      </c>
      <c r="H132" s="852">
        <v>159</v>
      </c>
      <c r="I132" s="496" t="s">
        <v>99</v>
      </c>
      <c r="J132" s="497">
        <v>3</v>
      </c>
      <c r="K132" s="497">
        <v>35</v>
      </c>
      <c r="L132" s="496" t="s">
        <v>96</v>
      </c>
      <c r="M132" s="852">
        <v>7</v>
      </c>
      <c r="N132" s="853">
        <v>180</v>
      </c>
      <c r="O132" s="1504"/>
      <c r="P132" s="1430"/>
      <c r="Q132" s="1430"/>
      <c r="R132" s="1475"/>
    </row>
    <row r="133" spans="1:18" ht="10.5" customHeight="1">
      <c r="A133" s="1426"/>
      <c r="B133" s="1431" t="s">
        <v>109</v>
      </c>
      <c r="C133" s="1487" t="s">
        <v>818</v>
      </c>
      <c r="D133" s="1488"/>
      <c r="E133" s="1489"/>
      <c r="F133" s="1449"/>
      <c r="G133" s="1449"/>
      <c r="H133" s="1449"/>
      <c r="I133" s="499" t="s">
        <v>94</v>
      </c>
      <c r="J133" s="500"/>
      <c r="K133" s="500"/>
      <c r="L133" s="1486"/>
      <c r="M133" s="1449"/>
      <c r="N133" s="1450"/>
      <c r="O133" s="1599"/>
      <c r="P133" s="1602"/>
      <c r="Q133" s="1602"/>
      <c r="R133" s="1603"/>
    </row>
    <row r="134" spans="1:18" ht="21" customHeight="1">
      <c r="A134" s="1426"/>
      <c r="B134" s="1432"/>
      <c r="C134" s="1440"/>
      <c r="D134" s="1441"/>
      <c r="E134" s="1442"/>
      <c r="F134" s="1399"/>
      <c r="G134" s="1399"/>
      <c r="H134" s="1399"/>
      <c r="I134" s="492" t="s">
        <v>98</v>
      </c>
      <c r="J134" s="493"/>
      <c r="K134" s="493"/>
      <c r="L134" s="1397"/>
      <c r="M134" s="1399"/>
      <c r="N134" s="1451"/>
      <c r="O134" s="1600"/>
      <c r="P134" s="1584"/>
      <c r="Q134" s="1584"/>
      <c r="R134" s="1587"/>
    </row>
    <row r="135" spans="1:18" ht="10.5" customHeight="1">
      <c r="A135" s="1426"/>
      <c r="B135" s="1432"/>
      <c r="C135" s="1443"/>
      <c r="D135" s="1444"/>
      <c r="E135" s="1445"/>
      <c r="F135" s="1399"/>
      <c r="G135" s="1399"/>
      <c r="H135" s="1399"/>
      <c r="I135" s="494" t="s">
        <v>701</v>
      </c>
      <c r="J135" s="495"/>
      <c r="K135" s="495"/>
      <c r="L135" s="1397"/>
      <c r="M135" s="1399"/>
      <c r="N135" s="1451"/>
      <c r="O135" s="1600"/>
      <c r="P135" s="1584"/>
      <c r="Q135" s="1584"/>
      <c r="R135" s="1587"/>
    </row>
    <row r="136" spans="1:18" ht="10.5" customHeight="1" thickBot="1">
      <c r="A136" s="1427"/>
      <c r="B136" s="1448"/>
      <c r="C136" s="506"/>
      <c r="D136" s="469"/>
      <c r="E136" s="469"/>
      <c r="F136" s="1407"/>
      <c r="G136" s="1407"/>
      <c r="H136" s="1407"/>
      <c r="I136" s="509" t="s">
        <v>99</v>
      </c>
      <c r="J136" s="508">
        <f>SUM(J133:J135)</f>
        <v>0</v>
      </c>
      <c r="K136" s="508">
        <f>SUM(K133:K135)</f>
        <v>0</v>
      </c>
      <c r="L136" s="1406"/>
      <c r="M136" s="1407"/>
      <c r="N136" s="1505"/>
      <c r="O136" s="1609"/>
      <c r="P136" s="1610"/>
      <c r="Q136" s="1610"/>
      <c r="R136" s="1611"/>
    </row>
    <row r="137" spans="1:18" ht="14.25" thickBot="1">
      <c r="A137" s="1617" t="str">
        <f>A90</f>
        <v>４　　ボランティアバンク設置・ボランティア活動状況(平成30年度計画）</v>
      </c>
      <c r="B137" s="1617"/>
      <c r="C137" s="1617"/>
      <c r="D137" s="1617"/>
      <c r="E137" s="1617"/>
      <c r="F137" s="1617"/>
      <c r="G137" s="1617"/>
      <c r="H137" s="1617"/>
      <c r="I137" s="1617"/>
      <c r="J137" s="1617"/>
      <c r="K137" s="1617"/>
      <c r="L137" s="1617"/>
      <c r="M137" s="1617"/>
      <c r="N137" s="1617"/>
      <c r="O137" s="1617"/>
      <c r="P137" s="1617"/>
      <c r="Q137" s="1617"/>
      <c r="R137" s="1617"/>
    </row>
    <row r="138" spans="1:18" ht="24" customHeight="1">
      <c r="A138" s="1414" t="s">
        <v>73</v>
      </c>
      <c r="B138" s="1415"/>
      <c r="C138" s="1529" t="s">
        <v>74</v>
      </c>
      <c r="D138" s="1530"/>
      <c r="E138" s="1531"/>
      <c r="F138" s="1532" t="s">
        <v>75</v>
      </c>
      <c r="G138" s="1533"/>
      <c r="H138" s="1534"/>
      <c r="I138" s="1421" t="s">
        <v>76</v>
      </c>
      <c r="J138" s="1422"/>
      <c r="K138" s="1423"/>
      <c r="L138" s="1421" t="s">
        <v>77</v>
      </c>
      <c r="M138" s="1422"/>
      <c r="N138" s="1424"/>
      <c r="O138" s="1535" t="s">
        <v>78</v>
      </c>
      <c r="P138" s="1535"/>
      <c r="Q138" s="1535"/>
      <c r="R138" s="1536"/>
    </row>
    <row r="139" spans="1:18" ht="36.75" customHeight="1" thickBot="1">
      <c r="A139" s="1416"/>
      <c r="B139" s="1417"/>
      <c r="C139" s="271" t="s">
        <v>79</v>
      </c>
      <c r="D139" s="263" t="s">
        <v>80</v>
      </c>
      <c r="E139" s="263" t="s">
        <v>81</v>
      </c>
      <c r="F139" s="264" t="s">
        <v>82</v>
      </c>
      <c r="G139" s="264" t="s">
        <v>83</v>
      </c>
      <c r="H139" s="264" t="s">
        <v>84</v>
      </c>
      <c r="I139" s="265" t="s">
        <v>82</v>
      </c>
      <c r="J139" s="265" t="s">
        <v>85</v>
      </c>
      <c r="K139" s="272" t="s">
        <v>86</v>
      </c>
      <c r="L139" s="265" t="s">
        <v>87</v>
      </c>
      <c r="M139" s="265" t="s">
        <v>83</v>
      </c>
      <c r="N139" s="273" t="s">
        <v>88</v>
      </c>
      <c r="O139" s="268" t="s">
        <v>89</v>
      </c>
      <c r="P139" s="269" t="s">
        <v>90</v>
      </c>
      <c r="Q139" s="269" t="s">
        <v>55</v>
      </c>
      <c r="R139" s="270" t="s">
        <v>91</v>
      </c>
    </row>
    <row r="140" spans="1:18" ht="12" customHeight="1">
      <c r="A140" s="1425" t="s">
        <v>110</v>
      </c>
      <c r="B140" s="1618" t="s">
        <v>111</v>
      </c>
      <c r="C140" s="1539"/>
      <c r="D140" s="1540"/>
      <c r="E140" s="1541"/>
      <c r="F140" s="1410"/>
      <c r="G140" s="1410"/>
      <c r="H140" s="1410"/>
      <c r="I140" s="499" t="s">
        <v>94</v>
      </c>
      <c r="J140" s="491"/>
      <c r="K140" s="491"/>
      <c r="L140" s="1547"/>
      <c r="M140" s="1410"/>
      <c r="N140" s="1511"/>
      <c r="O140" s="1621"/>
      <c r="P140" s="1616"/>
      <c r="Q140" s="1616"/>
      <c r="R140" s="1619"/>
    </row>
    <row r="141" spans="1:18" ht="20.25" customHeight="1">
      <c r="A141" s="1426"/>
      <c r="B141" s="1537"/>
      <c r="C141" s="1480"/>
      <c r="D141" s="1481"/>
      <c r="E141" s="1482"/>
      <c r="F141" s="1399"/>
      <c r="G141" s="1399"/>
      <c r="H141" s="1399"/>
      <c r="I141" s="492" t="s">
        <v>98</v>
      </c>
      <c r="J141" s="493"/>
      <c r="K141" s="493"/>
      <c r="L141" s="1397"/>
      <c r="M141" s="1399"/>
      <c r="N141" s="1451"/>
      <c r="O141" s="1600"/>
      <c r="P141" s="1584"/>
      <c r="Q141" s="1584"/>
      <c r="R141" s="1587"/>
    </row>
    <row r="142" spans="1:18" ht="12" customHeight="1">
      <c r="A142" s="1426"/>
      <c r="B142" s="1537"/>
      <c r="C142" s="1483"/>
      <c r="D142" s="1484"/>
      <c r="E142" s="1485"/>
      <c r="F142" s="1399"/>
      <c r="G142" s="1399"/>
      <c r="H142" s="1399"/>
      <c r="I142" s="494" t="s">
        <v>701</v>
      </c>
      <c r="J142" s="495"/>
      <c r="K142" s="495"/>
      <c r="L142" s="1397"/>
      <c r="M142" s="1399"/>
      <c r="N142" s="1451"/>
      <c r="O142" s="1600"/>
      <c r="P142" s="1584"/>
      <c r="Q142" s="1584"/>
      <c r="R142" s="1587"/>
    </row>
    <row r="143" spans="1:18" ht="12" customHeight="1">
      <c r="A143" s="1426"/>
      <c r="B143" s="1538"/>
      <c r="C143" s="463"/>
      <c r="D143" s="470"/>
      <c r="E143" s="470"/>
      <c r="F143" s="1400"/>
      <c r="G143" s="1400"/>
      <c r="H143" s="1400"/>
      <c r="I143" s="496" t="s">
        <v>99</v>
      </c>
      <c r="J143" s="497"/>
      <c r="K143" s="497"/>
      <c r="L143" s="1398"/>
      <c r="M143" s="1400"/>
      <c r="N143" s="1452"/>
      <c r="O143" s="1601"/>
      <c r="P143" s="1585"/>
      <c r="Q143" s="1585"/>
      <c r="R143" s="1588"/>
    </row>
    <row r="144" spans="1:18" ht="12" customHeight="1">
      <c r="A144" s="1426"/>
      <c r="B144" s="1431" t="s">
        <v>112</v>
      </c>
      <c r="C144" s="1487" t="s">
        <v>736</v>
      </c>
      <c r="D144" s="1488"/>
      <c r="E144" s="1489"/>
      <c r="F144" s="1408" t="s">
        <v>122</v>
      </c>
      <c r="G144" s="1404">
        <v>3</v>
      </c>
      <c r="H144" s="1404">
        <v>90</v>
      </c>
      <c r="I144" s="499" t="s">
        <v>94</v>
      </c>
      <c r="J144" s="501"/>
      <c r="K144" s="501"/>
      <c r="L144" s="1408" t="s">
        <v>842</v>
      </c>
      <c r="M144" s="1401" t="s">
        <v>911</v>
      </c>
      <c r="N144" s="1558" t="s">
        <v>912</v>
      </c>
      <c r="O144" s="1620"/>
      <c r="P144" s="1584">
        <v>50</v>
      </c>
      <c r="Q144" s="1584"/>
      <c r="R144" s="1587">
        <f>SUM(O144:Q147)</f>
        <v>50</v>
      </c>
    </row>
    <row r="145" spans="1:18" ht="21" customHeight="1">
      <c r="A145" s="1426"/>
      <c r="B145" s="1432"/>
      <c r="C145" s="1440"/>
      <c r="D145" s="1441"/>
      <c r="E145" s="1442"/>
      <c r="F145" s="1409"/>
      <c r="G145" s="1405"/>
      <c r="H145" s="1405"/>
      <c r="I145" s="492" t="s">
        <v>98</v>
      </c>
      <c r="J145" s="493"/>
      <c r="K145" s="493"/>
      <c r="L145" s="1409"/>
      <c r="M145" s="1402"/>
      <c r="N145" s="1559"/>
      <c r="O145" s="1466"/>
      <c r="P145" s="1584"/>
      <c r="Q145" s="1584"/>
      <c r="R145" s="1587"/>
    </row>
    <row r="146" spans="1:18" ht="11.25" customHeight="1">
      <c r="A146" s="1426"/>
      <c r="B146" s="1432"/>
      <c r="C146" s="1443"/>
      <c r="D146" s="1444"/>
      <c r="E146" s="1445"/>
      <c r="F146" s="1409"/>
      <c r="G146" s="1492"/>
      <c r="H146" s="1492"/>
      <c r="I146" s="494" t="s">
        <v>701</v>
      </c>
      <c r="J146" s="495"/>
      <c r="K146" s="495"/>
      <c r="L146" s="1409"/>
      <c r="M146" s="1403"/>
      <c r="N146" s="1560"/>
      <c r="O146" s="1466"/>
      <c r="P146" s="1584"/>
      <c r="Q146" s="1584"/>
      <c r="R146" s="1587"/>
    </row>
    <row r="147" spans="1:18" ht="12" customHeight="1">
      <c r="A147" s="1426"/>
      <c r="B147" s="1433"/>
      <c r="C147" s="463">
        <v>30</v>
      </c>
      <c r="D147" s="470"/>
      <c r="E147" s="470"/>
      <c r="F147" s="496" t="s">
        <v>96</v>
      </c>
      <c r="G147" s="852">
        <v>3</v>
      </c>
      <c r="H147" s="853">
        <v>90</v>
      </c>
      <c r="I147" s="496" t="s">
        <v>99</v>
      </c>
      <c r="J147" s="497"/>
      <c r="K147" s="497"/>
      <c r="L147" s="496" t="s">
        <v>96</v>
      </c>
      <c r="M147" s="852">
        <f>50+35</f>
        <v>85</v>
      </c>
      <c r="N147" s="855">
        <f>180+35</f>
        <v>215</v>
      </c>
      <c r="O147" s="1467"/>
      <c r="P147" s="1585"/>
      <c r="Q147" s="1585"/>
      <c r="R147" s="1588"/>
    </row>
    <row r="148" spans="1:18" ht="12" customHeight="1">
      <c r="A148" s="1426"/>
      <c r="B148" s="1431" t="s">
        <v>113</v>
      </c>
      <c r="C148" s="1487" t="s">
        <v>114</v>
      </c>
      <c r="D148" s="1488"/>
      <c r="E148" s="1489"/>
      <c r="F148" s="1486"/>
      <c r="G148" s="1449"/>
      <c r="H148" s="1449"/>
      <c r="I148" s="499" t="s">
        <v>94</v>
      </c>
      <c r="J148" s="500"/>
      <c r="K148" s="500"/>
      <c r="L148" s="1486"/>
      <c r="M148" s="1449"/>
      <c r="N148" s="1449"/>
      <c r="O148" s="1502"/>
      <c r="P148" s="1602"/>
      <c r="Q148" s="1602"/>
      <c r="R148" s="1603"/>
    </row>
    <row r="149" spans="1:18" ht="21" customHeight="1">
      <c r="A149" s="1426"/>
      <c r="B149" s="1432"/>
      <c r="C149" s="1440"/>
      <c r="D149" s="1441"/>
      <c r="E149" s="1442"/>
      <c r="F149" s="1397"/>
      <c r="G149" s="1399"/>
      <c r="H149" s="1399"/>
      <c r="I149" s="492" t="s">
        <v>98</v>
      </c>
      <c r="J149" s="493"/>
      <c r="K149" s="493"/>
      <c r="L149" s="1397"/>
      <c r="M149" s="1399"/>
      <c r="N149" s="1399"/>
      <c r="O149" s="1503"/>
      <c r="P149" s="1584"/>
      <c r="Q149" s="1584"/>
      <c r="R149" s="1587"/>
    </row>
    <row r="150" spans="1:18" ht="12" customHeight="1">
      <c r="A150" s="1426"/>
      <c r="B150" s="1432"/>
      <c r="C150" s="1443"/>
      <c r="D150" s="1444"/>
      <c r="E150" s="1445"/>
      <c r="F150" s="1397"/>
      <c r="G150" s="1399"/>
      <c r="H150" s="1399"/>
      <c r="I150" s="494" t="s">
        <v>701</v>
      </c>
      <c r="J150" s="495"/>
      <c r="K150" s="495"/>
      <c r="L150" s="1397"/>
      <c r="M150" s="1399"/>
      <c r="N150" s="1399"/>
      <c r="O150" s="1503"/>
      <c r="P150" s="1584"/>
      <c r="Q150" s="1584"/>
      <c r="R150" s="1587"/>
    </row>
    <row r="151" spans="1:18" ht="12" customHeight="1">
      <c r="A151" s="1426"/>
      <c r="B151" s="1433"/>
      <c r="C151" s="463"/>
      <c r="D151" s="470"/>
      <c r="E151" s="470"/>
      <c r="F151" s="1398"/>
      <c r="G151" s="1400"/>
      <c r="H151" s="1400"/>
      <c r="I151" s="496" t="s">
        <v>99</v>
      </c>
      <c r="J151" s="497"/>
      <c r="K151" s="497"/>
      <c r="L151" s="1398"/>
      <c r="M151" s="1400"/>
      <c r="N151" s="1400"/>
      <c r="O151" s="1504"/>
      <c r="P151" s="1585"/>
      <c r="Q151" s="1585"/>
      <c r="R151" s="1588"/>
    </row>
    <row r="152" spans="1:18" ht="12" customHeight="1">
      <c r="A152" s="1426"/>
      <c r="B152" s="1431" t="s">
        <v>115</v>
      </c>
      <c r="C152" s="1480"/>
      <c r="D152" s="1481"/>
      <c r="E152" s="1482"/>
      <c r="F152" s="1399"/>
      <c r="G152" s="1399"/>
      <c r="H152" s="1399"/>
      <c r="I152" s="499" t="s">
        <v>94</v>
      </c>
      <c r="J152" s="501"/>
      <c r="K152" s="501"/>
      <c r="L152" s="1397"/>
      <c r="M152" s="1399"/>
      <c r="N152" s="1451"/>
      <c r="O152" s="1600"/>
      <c r="P152" s="1584"/>
      <c r="Q152" s="1584"/>
      <c r="R152" s="1587"/>
    </row>
    <row r="153" spans="1:18" ht="21" customHeight="1">
      <c r="A153" s="1426"/>
      <c r="B153" s="1432"/>
      <c r="C153" s="1480"/>
      <c r="D153" s="1481"/>
      <c r="E153" s="1482"/>
      <c r="F153" s="1399"/>
      <c r="G153" s="1399"/>
      <c r="H153" s="1399"/>
      <c r="I153" s="492" t="s">
        <v>98</v>
      </c>
      <c r="J153" s="493"/>
      <c r="K153" s="493"/>
      <c r="L153" s="1397"/>
      <c r="M153" s="1399"/>
      <c r="N153" s="1451"/>
      <c r="O153" s="1600"/>
      <c r="P153" s="1584"/>
      <c r="Q153" s="1584"/>
      <c r="R153" s="1587"/>
    </row>
    <row r="154" spans="1:18" ht="12" customHeight="1">
      <c r="A154" s="1426"/>
      <c r="B154" s="1432"/>
      <c r="C154" s="1483"/>
      <c r="D154" s="1484"/>
      <c r="E154" s="1485"/>
      <c r="F154" s="1399"/>
      <c r="G154" s="1399"/>
      <c r="H154" s="1399"/>
      <c r="I154" s="494" t="s">
        <v>701</v>
      </c>
      <c r="J154" s="495"/>
      <c r="K154" s="495"/>
      <c r="L154" s="1397"/>
      <c r="M154" s="1399"/>
      <c r="N154" s="1451"/>
      <c r="O154" s="1600"/>
      <c r="P154" s="1584"/>
      <c r="Q154" s="1584"/>
      <c r="R154" s="1587"/>
    </row>
    <row r="155" spans="1:18" ht="12" customHeight="1">
      <c r="A155" s="1426"/>
      <c r="B155" s="1433"/>
      <c r="C155" s="463"/>
      <c r="D155" s="470"/>
      <c r="E155" s="470"/>
      <c r="F155" s="1400"/>
      <c r="G155" s="1400"/>
      <c r="H155" s="1400"/>
      <c r="I155" s="496" t="s">
        <v>96</v>
      </c>
      <c r="J155" s="497"/>
      <c r="K155" s="497"/>
      <c r="L155" s="1398"/>
      <c r="M155" s="1400"/>
      <c r="N155" s="1452"/>
      <c r="O155" s="1601"/>
      <c r="P155" s="1585"/>
      <c r="Q155" s="1585"/>
      <c r="R155" s="1588"/>
    </row>
    <row r="156" spans="1:18" ht="12" customHeight="1">
      <c r="A156" s="1426"/>
      <c r="B156" s="1431" t="s">
        <v>116</v>
      </c>
      <c r="C156" s="1487" t="s">
        <v>734</v>
      </c>
      <c r="D156" s="1488"/>
      <c r="E156" s="1489"/>
      <c r="F156" s="1607" t="s">
        <v>794</v>
      </c>
      <c r="G156" s="1404">
        <v>1</v>
      </c>
      <c r="H156" s="1404">
        <v>30</v>
      </c>
      <c r="I156" s="499" t="s">
        <v>94</v>
      </c>
      <c r="J156" s="500">
        <v>5</v>
      </c>
      <c r="K156" s="500">
        <v>15</v>
      </c>
      <c r="L156" s="1408" t="s">
        <v>929</v>
      </c>
      <c r="M156" s="1401">
        <v>24</v>
      </c>
      <c r="N156" s="1526">
        <v>72</v>
      </c>
      <c r="O156" s="1502"/>
      <c r="P156" s="1429"/>
      <c r="Q156" s="1512"/>
      <c r="R156" s="1474"/>
    </row>
    <row r="157" spans="1:18" ht="21" customHeight="1">
      <c r="A157" s="1426"/>
      <c r="B157" s="1432"/>
      <c r="C157" s="1440"/>
      <c r="D157" s="1441"/>
      <c r="E157" s="1442"/>
      <c r="F157" s="1608"/>
      <c r="G157" s="1405"/>
      <c r="H157" s="1405"/>
      <c r="I157" s="492" t="s">
        <v>98</v>
      </c>
      <c r="J157" s="493"/>
      <c r="K157" s="493"/>
      <c r="L157" s="1409"/>
      <c r="M157" s="1402"/>
      <c r="N157" s="1527"/>
      <c r="O157" s="1503"/>
      <c r="P157" s="1429"/>
      <c r="Q157" s="1429"/>
      <c r="R157" s="1474"/>
    </row>
    <row r="158" spans="1:18" ht="12" customHeight="1">
      <c r="A158" s="1426"/>
      <c r="B158" s="1432"/>
      <c r="C158" s="1443"/>
      <c r="D158" s="1444"/>
      <c r="E158" s="1445"/>
      <c r="F158" s="1608"/>
      <c r="G158" s="1492"/>
      <c r="H158" s="1492"/>
      <c r="I158" s="494" t="s">
        <v>594</v>
      </c>
      <c r="J158" s="495"/>
      <c r="K158" s="495"/>
      <c r="L158" s="1409"/>
      <c r="M158" s="1403"/>
      <c r="N158" s="1528"/>
      <c r="O158" s="1503"/>
      <c r="P158" s="1429"/>
      <c r="Q158" s="1429"/>
      <c r="R158" s="1474"/>
    </row>
    <row r="159" spans="1:18" ht="12" customHeight="1">
      <c r="A159" s="1426"/>
      <c r="B159" s="1432"/>
      <c r="C159" s="488"/>
      <c r="D159" s="502"/>
      <c r="E159" s="502"/>
      <c r="F159" s="496" t="s">
        <v>96</v>
      </c>
      <c r="G159" s="852">
        <v>1</v>
      </c>
      <c r="H159" s="853">
        <v>30</v>
      </c>
      <c r="I159" s="503" t="s">
        <v>99</v>
      </c>
      <c r="J159" s="498">
        <v>5</v>
      </c>
      <c r="K159" s="498">
        <v>15</v>
      </c>
      <c r="L159" s="496" t="s">
        <v>96</v>
      </c>
      <c r="M159" s="852">
        <v>24</v>
      </c>
      <c r="N159" s="853">
        <v>72</v>
      </c>
      <c r="O159" s="1503"/>
      <c r="P159" s="1429"/>
      <c r="Q159" s="1429"/>
      <c r="R159" s="1474"/>
    </row>
    <row r="160" spans="1:18" ht="15" customHeight="1">
      <c r="A160" s="1426"/>
      <c r="B160" s="1431" t="s">
        <v>117</v>
      </c>
      <c r="C160" s="1477"/>
      <c r="D160" s="1478"/>
      <c r="E160" s="1479"/>
      <c r="F160" s="1449"/>
      <c r="G160" s="1449"/>
      <c r="H160" s="1449"/>
      <c r="I160" s="499" t="s">
        <v>94</v>
      </c>
      <c r="J160" s="500"/>
      <c r="K160" s="500"/>
      <c r="L160" s="1486"/>
      <c r="M160" s="1449"/>
      <c r="N160" s="1450"/>
      <c r="O160" s="1599"/>
      <c r="P160" s="1602"/>
      <c r="Q160" s="1602"/>
      <c r="R160" s="1603"/>
    </row>
    <row r="161" spans="1:18" ht="21" customHeight="1">
      <c r="A161" s="1426"/>
      <c r="B161" s="1432"/>
      <c r="C161" s="1480"/>
      <c r="D161" s="1481"/>
      <c r="E161" s="1482"/>
      <c r="F161" s="1399"/>
      <c r="G161" s="1399"/>
      <c r="H161" s="1399"/>
      <c r="I161" s="492" t="s">
        <v>98</v>
      </c>
      <c r="J161" s="493"/>
      <c r="K161" s="493"/>
      <c r="L161" s="1397"/>
      <c r="M161" s="1399"/>
      <c r="N161" s="1451"/>
      <c r="O161" s="1600"/>
      <c r="P161" s="1584"/>
      <c r="Q161" s="1584"/>
      <c r="R161" s="1587"/>
    </row>
    <row r="162" spans="1:18" ht="15" customHeight="1">
      <c r="A162" s="1426"/>
      <c r="B162" s="1432"/>
      <c r="C162" s="1483"/>
      <c r="D162" s="1484"/>
      <c r="E162" s="1485"/>
      <c r="F162" s="1399"/>
      <c r="G162" s="1399"/>
      <c r="H162" s="1399"/>
      <c r="I162" s="494" t="s">
        <v>594</v>
      </c>
      <c r="J162" s="495"/>
      <c r="K162" s="495"/>
      <c r="L162" s="1397"/>
      <c r="M162" s="1399"/>
      <c r="N162" s="1451"/>
      <c r="O162" s="1600"/>
      <c r="P162" s="1584"/>
      <c r="Q162" s="1584"/>
      <c r="R162" s="1587"/>
    </row>
    <row r="163" spans="1:18" ht="12" customHeight="1">
      <c r="A163" s="1426"/>
      <c r="B163" s="1433"/>
      <c r="C163" s="463"/>
      <c r="D163" s="470"/>
      <c r="E163" s="470"/>
      <c r="F163" s="1400"/>
      <c r="G163" s="1400"/>
      <c r="H163" s="1400"/>
      <c r="I163" s="496" t="s">
        <v>99</v>
      </c>
      <c r="J163" s="497"/>
      <c r="K163" s="497"/>
      <c r="L163" s="1398"/>
      <c r="M163" s="1400"/>
      <c r="N163" s="1452"/>
      <c r="O163" s="1601"/>
      <c r="P163" s="1585"/>
      <c r="Q163" s="1585"/>
      <c r="R163" s="1588"/>
    </row>
    <row r="164" spans="1:18" ht="12" customHeight="1">
      <c r="A164" s="1426"/>
      <c r="B164" s="1431" t="s">
        <v>54</v>
      </c>
      <c r="C164" s="1573"/>
      <c r="D164" s="1574"/>
      <c r="E164" s="1575"/>
      <c r="F164" s="1498"/>
      <c r="G164" s="1401"/>
      <c r="H164" s="1401"/>
      <c r="I164" s="499" t="s">
        <v>94</v>
      </c>
      <c r="J164" s="500"/>
      <c r="K164" s="500"/>
      <c r="L164" s="1497"/>
      <c r="M164" s="1401"/>
      <c r="N164" s="1526"/>
      <c r="O164" s="1503"/>
      <c r="P164" s="1602"/>
      <c r="Q164" s="1602"/>
      <c r="R164" s="1586"/>
    </row>
    <row r="165" spans="1:18" ht="21" customHeight="1">
      <c r="A165" s="1426"/>
      <c r="B165" s="1432"/>
      <c r="C165" s="1576"/>
      <c r="D165" s="1577"/>
      <c r="E165" s="1578"/>
      <c r="F165" s="1498"/>
      <c r="G165" s="1402"/>
      <c r="H165" s="1402"/>
      <c r="I165" s="492" t="s">
        <v>98</v>
      </c>
      <c r="J165" s="493"/>
      <c r="K165" s="493"/>
      <c r="L165" s="1498"/>
      <c r="M165" s="1402"/>
      <c r="N165" s="1527"/>
      <c r="O165" s="1503"/>
      <c r="P165" s="1584"/>
      <c r="Q165" s="1584"/>
      <c r="R165" s="1587"/>
    </row>
    <row r="166" spans="1:18" ht="12" customHeight="1">
      <c r="A166" s="1426"/>
      <c r="B166" s="1432"/>
      <c r="C166" s="1579"/>
      <c r="D166" s="1580"/>
      <c r="E166" s="1581"/>
      <c r="F166" s="1498"/>
      <c r="G166" s="1402"/>
      <c r="H166" s="1402"/>
      <c r="I166" s="494" t="s">
        <v>594</v>
      </c>
      <c r="J166" s="495"/>
      <c r="K166" s="495"/>
      <c r="L166" s="1498"/>
      <c r="M166" s="1402"/>
      <c r="N166" s="1527"/>
      <c r="O166" s="1503"/>
      <c r="P166" s="1584"/>
      <c r="Q166" s="1584"/>
      <c r="R166" s="1587"/>
    </row>
    <row r="167" spans="1:18" ht="12" customHeight="1">
      <c r="A167" s="1426"/>
      <c r="B167" s="1433"/>
      <c r="C167" s="463"/>
      <c r="D167" s="470"/>
      <c r="E167" s="470"/>
      <c r="F167" s="1499"/>
      <c r="G167" s="1403"/>
      <c r="H167" s="1403"/>
      <c r="I167" s="496" t="s">
        <v>99</v>
      </c>
      <c r="J167" s="498">
        <f>SUM(J164:J166)</f>
        <v>0</v>
      </c>
      <c r="K167" s="498">
        <f>SUM(K164:K166)</f>
        <v>0</v>
      </c>
      <c r="L167" s="1499"/>
      <c r="M167" s="1403"/>
      <c r="N167" s="1528"/>
      <c r="O167" s="1503"/>
      <c r="P167" s="1584"/>
      <c r="Q167" s="1584"/>
      <c r="R167" s="1587"/>
    </row>
    <row r="168" spans="1:18" ht="12" customHeight="1">
      <c r="A168" s="1426"/>
      <c r="B168" s="1431" t="s">
        <v>118</v>
      </c>
      <c r="C168" s="1477"/>
      <c r="D168" s="1478"/>
      <c r="E168" s="1479"/>
      <c r="F168" s="1449"/>
      <c r="G168" s="1449"/>
      <c r="H168" s="1449"/>
      <c r="I168" s="499" t="s">
        <v>94</v>
      </c>
      <c r="J168" s="500"/>
      <c r="K168" s="500"/>
      <c r="L168" s="1622" t="s">
        <v>119</v>
      </c>
      <c r="M168" s="1401">
        <v>2</v>
      </c>
      <c r="N168" s="1526">
        <v>500</v>
      </c>
      <c r="O168" s="1502"/>
      <c r="P168" s="1583">
        <v>1196</v>
      </c>
      <c r="Q168" s="1583"/>
      <c r="R168" s="1586">
        <f>SUM(P168:Q168)</f>
        <v>1196</v>
      </c>
    </row>
    <row r="169" spans="1:18" ht="21" customHeight="1">
      <c r="A169" s="1426"/>
      <c r="B169" s="1432"/>
      <c r="C169" s="1480"/>
      <c r="D169" s="1481"/>
      <c r="E169" s="1482"/>
      <c r="F169" s="1399"/>
      <c r="G169" s="1399"/>
      <c r="H169" s="1399"/>
      <c r="I169" s="492" t="s">
        <v>98</v>
      </c>
      <c r="J169" s="493"/>
      <c r="K169" s="493"/>
      <c r="L169" s="1623"/>
      <c r="M169" s="1402"/>
      <c r="N169" s="1527"/>
      <c r="O169" s="1503"/>
      <c r="P169" s="1596"/>
      <c r="Q169" s="1584"/>
      <c r="R169" s="1587"/>
    </row>
    <row r="170" spans="1:18" ht="12" customHeight="1">
      <c r="A170" s="1426"/>
      <c r="B170" s="1432"/>
      <c r="C170" s="1483"/>
      <c r="D170" s="1484"/>
      <c r="E170" s="1485"/>
      <c r="F170" s="1399"/>
      <c r="G170" s="1399"/>
      <c r="H170" s="1399"/>
      <c r="I170" s="494" t="s">
        <v>594</v>
      </c>
      <c r="J170" s="495"/>
      <c r="K170" s="495"/>
      <c r="L170" s="1623"/>
      <c r="M170" s="1403"/>
      <c r="N170" s="1528"/>
      <c r="O170" s="1503"/>
      <c r="P170" s="1596"/>
      <c r="Q170" s="1584"/>
      <c r="R170" s="1587"/>
    </row>
    <row r="171" spans="1:18" ht="12" customHeight="1">
      <c r="A171" s="1426"/>
      <c r="B171" s="1433"/>
      <c r="C171" s="463"/>
      <c r="D171" s="470"/>
      <c r="E171" s="470"/>
      <c r="F171" s="1400"/>
      <c r="G171" s="1400"/>
      <c r="H171" s="1400"/>
      <c r="I171" s="496" t="s">
        <v>99</v>
      </c>
      <c r="J171" s="497"/>
      <c r="K171" s="497"/>
      <c r="L171" s="496" t="s">
        <v>96</v>
      </c>
      <c r="M171" s="852">
        <v>2</v>
      </c>
      <c r="N171" s="853">
        <v>500</v>
      </c>
      <c r="O171" s="1503"/>
      <c r="P171" s="1596"/>
      <c r="Q171" s="1584"/>
      <c r="R171" s="1587"/>
    </row>
    <row r="172" spans="1:18" ht="12" customHeight="1">
      <c r="A172" s="1426"/>
      <c r="B172" s="1431" t="s">
        <v>120</v>
      </c>
      <c r="C172" s="1487"/>
      <c r="D172" s="1488"/>
      <c r="E172" s="1489"/>
      <c r="F172" s="1624"/>
      <c r="G172" s="1449"/>
      <c r="H172" s="1449"/>
      <c r="I172" s="499" t="s">
        <v>94</v>
      </c>
      <c r="J172" s="500"/>
      <c r="K172" s="500"/>
      <c r="L172" s="1624"/>
      <c r="M172" s="1449"/>
      <c r="N172" s="1450"/>
      <c r="O172" s="1502"/>
      <c r="P172" s="1602"/>
      <c r="Q172" s="1583"/>
      <c r="R172" s="1586"/>
    </row>
    <row r="173" spans="1:18" ht="21" customHeight="1">
      <c r="A173" s="1426"/>
      <c r="B173" s="1432"/>
      <c r="C173" s="1440"/>
      <c r="D173" s="1441"/>
      <c r="E173" s="1442"/>
      <c r="F173" s="1543"/>
      <c r="G173" s="1399"/>
      <c r="H173" s="1399"/>
      <c r="I173" s="492" t="s">
        <v>98</v>
      </c>
      <c r="J173" s="493"/>
      <c r="K173" s="493"/>
      <c r="L173" s="1543"/>
      <c r="M173" s="1399"/>
      <c r="N173" s="1451"/>
      <c r="O173" s="1503"/>
      <c r="P173" s="1584"/>
      <c r="Q173" s="1584"/>
      <c r="R173" s="1587"/>
    </row>
    <row r="174" spans="1:18" ht="12" customHeight="1">
      <c r="A174" s="1426"/>
      <c r="B174" s="1432"/>
      <c r="C174" s="1443"/>
      <c r="D174" s="1444"/>
      <c r="E174" s="1445"/>
      <c r="F174" s="1543"/>
      <c r="G174" s="1399"/>
      <c r="H174" s="1399"/>
      <c r="I174" s="494" t="s">
        <v>594</v>
      </c>
      <c r="J174" s="495"/>
      <c r="K174" s="495"/>
      <c r="L174" s="1543"/>
      <c r="M174" s="1399"/>
      <c r="N174" s="1451"/>
      <c r="O174" s="1503"/>
      <c r="P174" s="1584"/>
      <c r="Q174" s="1584"/>
      <c r="R174" s="1587"/>
    </row>
    <row r="175" spans="1:18" ht="12" customHeight="1" thickBot="1">
      <c r="A175" s="1427"/>
      <c r="B175" s="1448"/>
      <c r="C175" s="506"/>
      <c r="D175" s="469"/>
      <c r="E175" s="469"/>
      <c r="F175" s="1625"/>
      <c r="G175" s="1407"/>
      <c r="H175" s="1407"/>
      <c r="I175" s="509" t="s">
        <v>99</v>
      </c>
      <c r="J175" s="508"/>
      <c r="K175" s="508"/>
      <c r="L175" s="1625"/>
      <c r="M175" s="1407"/>
      <c r="N175" s="1505"/>
      <c r="O175" s="1626"/>
      <c r="P175" s="1610"/>
      <c r="Q175" s="1610"/>
      <c r="R175" s="1611"/>
    </row>
    <row r="176" spans="1:18" ht="15" customHeight="1">
      <c r="A176" s="274"/>
      <c r="B176" s="275"/>
      <c r="C176" s="276"/>
      <c r="D176" s="276"/>
      <c r="E176" s="276"/>
      <c r="F176" s="277"/>
      <c r="G176" s="278"/>
      <c r="H176" s="278"/>
      <c r="I176" s="279"/>
      <c r="J176" s="278"/>
      <c r="K176" s="278"/>
      <c r="L176" s="277"/>
      <c r="M176" s="278"/>
      <c r="N176" s="278"/>
      <c r="O176" s="280"/>
      <c r="P176" s="281"/>
      <c r="Q176" s="281"/>
      <c r="R176" s="281"/>
    </row>
    <row r="177" spans="1:18" ht="12.75" customHeight="1">
      <c r="A177" s="274"/>
      <c r="B177" s="1592" t="s">
        <v>1077</v>
      </c>
      <c r="C177" s="1592"/>
      <c r="D177" s="1592"/>
      <c r="E177" s="1592"/>
      <c r="F177" s="1592"/>
      <c r="G177" s="1592"/>
      <c r="H177" s="1592"/>
      <c r="I177" s="1592"/>
      <c r="J177" s="1592"/>
      <c r="K177" s="1592"/>
      <c r="L177" s="1592"/>
      <c r="M177" s="1592"/>
      <c r="N177" s="1592"/>
      <c r="O177" s="1592"/>
      <c r="P177" s="1592"/>
      <c r="Q177" s="1592"/>
      <c r="R177" s="1592"/>
    </row>
    <row r="178" spans="1:18" ht="12.75" customHeight="1">
      <c r="A178" s="274"/>
      <c r="B178" s="1592"/>
      <c r="C178" s="1592"/>
      <c r="D178" s="1592"/>
      <c r="E178" s="1592"/>
      <c r="F178" s="1592"/>
      <c r="G178" s="1592"/>
      <c r="H178" s="1592"/>
      <c r="I178" s="1592"/>
      <c r="J178" s="1592"/>
      <c r="K178" s="1592"/>
      <c r="L178" s="1592"/>
      <c r="M178" s="1592"/>
      <c r="N178" s="1592"/>
      <c r="O178" s="1592"/>
      <c r="P178" s="1592"/>
      <c r="Q178" s="1592"/>
      <c r="R178" s="1592"/>
    </row>
  </sheetData>
  <sheetProtection/>
  <mergeCells count="516">
    <mergeCell ref="H40:H42"/>
    <mergeCell ref="F40:F42"/>
    <mergeCell ref="F129:F131"/>
    <mergeCell ref="G129:G131"/>
    <mergeCell ref="H129:H131"/>
    <mergeCell ref="B177:R178"/>
    <mergeCell ref="M172:M175"/>
    <mergeCell ref="N172:N175"/>
    <mergeCell ref="O172:O175"/>
    <mergeCell ref="P172:P175"/>
    <mergeCell ref="Q172:Q175"/>
    <mergeCell ref="R172:R175"/>
    <mergeCell ref="B172:B175"/>
    <mergeCell ref="C172:E174"/>
    <mergeCell ref="F172:F175"/>
    <mergeCell ref="G172:G175"/>
    <mergeCell ref="H172:H175"/>
    <mergeCell ref="L172:L175"/>
    <mergeCell ref="O168:O171"/>
    <mergeCell ref="M168:M170"/>
    <mergeCell ref="N168:N170"/>
    <mergeCell ref="P168:P171"/>
    <mergeCell ref="Q168:Q171"/>
    <mergeCell ref="R168:R171"/>
    <mergeCell ref="B168:B171"/>
    <mergeCell ref="C168:E170"/>
    <mergeCell ref="F168:F171"/>
    <mergeCell ref="G168:G171"/>
    <mergeCell ref="H168:H171"/>
    <mergeCell ref="L168:L170"/>
    <mergeCell ref="M164:M167"/>
    <mergeCell ref="N164:N167"/>
    <mergeCell ref="O164:O167"/>
    <mergeCell ref="P164:P167"/>
    <mergeCell ref="Q164:Q167"/>
    <mergeCell ref="R164:R167"/>
    <mergeCell ref="B164:B167"/>
    <mergeCell ref="C164:E166"/>
    <mergeCell ref="F164:F167"/>
    <mergeCell ref="G164:G167"/>
    <mergeCell ref="H164:H167"/>
    <mergeCell ref="L164:L167"/>
    <mergeCell ref="M160:M163"/>
    <mergeCell ref="N160:N163"/>
    <mergeCell ref="O160:O163"/>
    <mergeCell ref="P160:P163"/>
    <mergeCell ref="Q160:Q163"/>
    <mergeCell ref="R160:R163"/>
    <mergeCell ref="B160:B163"/>
    <mergeCell ref="C160:E162"/>
    <mergeCell ref="F160:F163"/>
    <mergeCell ref="G160:G163"/>
    <mergeCell ref="H160:H163"/>
    <mergeCell ref="L160:L163"/>
    <mergeCell ref="R152:R155"/>
    <mergeCell ref="B156:B159"/>
    <mergeCell ref="C156:E158"/>
    <mergeCell ref="O156:O159"/>
    <mergeCell ref="P156:P159"/>
    <mergeCell ref="Q156:Q159"/>
    <mergeCell ref="R156:R159"/>
    <mergeCell ref="L152:L155"/>
    <mergeCell ref="M152:M155"/>
    <mergeCell ref="N152:N155"/>
    <mergeCell ref="O152:O155"/>
    <mergeCell ref="P152:P155"/>
    <mergeCell ref="Q152:Q155"/>
    <mergeCell ref="N148:N151"/>
    <mergeCell ref="O148:O151"/>
    <mergeCell ref="P148:P151"/>
    <mergeCell ref="Q148:Q151"/>
    <mergeCell ref="R148:R151"/>
    <mergeCell ref="B152:B155"/>
    <mergeCell ref="C152:E154"/>
    <mergeCell ref="F152:F155"/>
    <mergeCell ref="G152:G155"/>
    <mergeCell ref="H152:H155"/>
    <mergeCell ref="C148:E150"/>
    <mergeCell ref="F148:F151"/>
    <mergeCell ref="G148:G151"/>
    <mergeCell ref="H148:H151"/>
    <mergeCell ref="Q144:Q147"/>
    <mergeCell ref="R144:R147"/>
    <mergeCell ref="L148:L151"/>
    <mergeCell ref="M148:M151"/>
    <mergeCell ref="R140:R143"/>
    <mergeCell ref="O144:O147"/>
    <mergeCell ref="L140:L143"/>
    <mergeCell ref="M140:M143"/>
    <mergeCell ref="N140:N143"/>
    <mergeCell ref="O140:O143"/>
    <mergeCell ref="A140:A175"/>
    <mergeCell ref="B140:B143"/>
    <mergeCell ref="C140:E142"/>
    <mergeCell ref="F140:F143"/>
    <mergeCell ref="G140:G143"/>
    <mergeCell ref="H140:H143"/>
    <mergeCell ref="F156:F158"/>
    <mergeCell ref="G156:G158"/>
    <mergeCell ref="B144:B147"/>
    <mergeCell ref="C144:E146"/>
    <mergeCell ref="B148:B151"/>
    <mergeCell ref="A137:R137"/>
    <mergeCell ref="A138:B139"/>
    <mergeCell ref="C138:E138"/>
    <mergeCell ref="F138:H138"/>
    <mergeCell ref="I138:K138"/>
    <mergeCell ref="L138:N138"/>
    <mergeCell ref="O138:R138"/>
    <mergeCell ref="F144:F146"/>
    <mergeCell ref="P140:P143"/>
    <mergeCell ref="O133:O136"/>
    <mergeCell ref="P133:P136"/>
    <mergeCell ref="Q133:Q136"/>
    <mergeCell ref="R133:R136"/>
    <mergeCell ref="H156:H158"/>
    <mergeCell ref="Q140:Q143"/>
    <mergeCell ref="L156:L158"/>
    <mergeCell ref="M156:M158"/>
    <mergeCell ref="N156:N158"/>
    <mergeCell ref="P144:P147"/>
    <mergeCell ref="L125:L127"/>
    <mergeCell ref="B133:B136"/>
    <mergeCell ref="C133:E135"/>
    <mergeCell ref="F133:F136"/>
    <mergeCell ref="G133:G136"/>
    <mergeCell ref="H133:H136"/>
    <mergeCell ref="L133:L136"/>
    <mergeCell ref="B129:B132"/>
    <mergeCell ref="C129:E131"/>
    <mergeCell ref="G144:G146"/>
    <mergeCell ref="H144:H146"/>
    <mergeCell ref="L144:L146"/>
    <mergeCell ref="M144:M146"/>
    <mergeCell ref="N144:N146"/>
    <mergeCell ref="M129:M131"/>
    <mergeCell ref="N129:N131"/>
    <mergeCell ref="M133:M136"/>
    <mergeCell ref="N133:N136"/>
    <mergeCell ref="L129:L131"/>
    <mergeCell ref="O129:O132"/>
    <mergeCell ref="N125:N127"/>
    <mergeCell ref="M125:M127"/>
    <mergeCell ref="P129:P132"/>
    <mergeCell ref="Q129:Q132"/>
    <mergeCell ref="R129:R132"/>
    <mergeCell ref="O125:O128"/>
    <mergeCell ref="P125:P128"/>
    <mergeCell ref="Q125:Q128"/>
    <mergeCell ref="R125:R128"/>
    <mergeCell ref="B121:B124"/>
    <mergeCell ref="C121:E123"/>
    <mergeCell ref="F121:F123"/>
    <mergeCell ref="G121:G123"/>
    <mergeCell ref="H121:H123"/>
    <mergeCell ref="B125:B128"/>
    <mergeCell ref="C125:E127"/>
    <mergeCell ref="F125:F127"/>
    <mergeCell ref="G125:G127"/>
    <mergeCell ref="H125:H127"/>
    <mergeCell ref="N117:N120"/>
    <mergeCell ref="O117:O120"/>
    <mergeCell ref="P117:P120"/>
    <mergeCell ref="Q117:Q120"/>
    <mergeCell ref="R117:R120"/>
    <mergeCell ref="P121:P124"/>
    <mergeCell ref="Q121:Q124"/>
    <mergeCell ref="R121:R124"/>
    <mergeCell ref="N121:N123"/>
    <mergeCell ref="O121:O124"/>
    <mergeCell ref="N113:N116"/>
    <mergeCell ref="O113:O116"/>
    <mergeCell ref="P113:P116"/>
    <mergeCell ref="Q113:Q116"/>
    <mergeCell ref="R113:R116"/>
    <mergeCell ref="B117:B120"/>
    <mergeCell ref="C117:E119"/>
    <mergeCell ref="F117:F120"/>
    <mergeCell ref="G117:G120"/>
    <mergeCell ref="H117:H120"/>
    <mergeCell ref="N109:N112"/>
    <mergeCell ref="O109:O112"/>
    <mergeCell ref="P109:P112"/>
    <mergeCell ref="Q109:Q112"/>
    <mergeCell ref="R109:R112"/>
    <mergeCell ref="A113:A136"/>
    <mergeCell ref="B113:B116"/>
    <mergeCell ref="C113:E115"/>
    <mergeCell ref="F113:F116"/>
    <mergeCell ref="G113:G116"/>
    <mergeCell ref="N105:N108"/>
    <mergeCell ref="O105:O108"/>
    <mergeCell ref="P105:P108"/>
    <mergeCell ref="Q105:Q108"/>
    <mergeCell ref="R105:R108"/>
    <mergeCell ref="B109:B112"/>
    <mergeCell ref="C109:E111"/>
    <mergeCell ref="F109:F112"/>
    <mergeCell ref="G109:G112"/>
    <mergeCell ref="H109:H112"/>
    <mergeCell ref="C105:E107"/>
    <mergeCell ref="F105:F108"/>
    <mergeCell ref="G105:G108"/>
    <mergeCell ref="H105:H108"/>
    <mergeCell ref="L105:L108"/>
    <mergeCell ref="M105:M108"/>
    <mergeCell ref="P97:P100"/>
    <mergeCell ref="Q97:Q100"/>
    <mergeCell ref="R97:R100"/>
    <mergeCell ref="B101:B104"/>
    <mergeCell ref="C101:E103"/>
    <mergeCell ref="O101:O104"/>
    <mergeCell ref="P101:P104"/>
    <mergeCell ref="Q101:Q104"/>
    <mergeCell ref="R101:R104"/>
    <mergeCell ref="L101:L103"/>
    <mergeCell ref="R93:R96"/>
    <mergeCell ref="B97:B100"/>
    <mergeCell ref="C97:E99"/>
    <mergeCell ref="F97:F100"/>
    <mergeCell ref="G97:G100"/>
    <mergeCell ref="H97:H100"/>
    <mergeCell ref="L97:L100"/>
    <mergeCell ref="M97:M100"/>
    <mergeCell ref="N97:N100"/>
    <mergeCell ref="O97:O100"/>
    <mergeCell ref="O93:O96"/>
    <mergeCell ref="P93:P96"/>
    <mergeCell ref="Q93:Q96"/>
    <mergeCell ref="L93:L95"/>
    <mergeCell ref="M93:M95"/>
    <mergeCell ref="N93:N95"/>
    <mergeCell ref="A93:A112"/>
    <mergeCell ref="B93:B96"/>
    <mergeCell ref="C93:E95"/>
    <mergeCell ref="F93:F95"/>
    <mergeCell ref="G93:G95"/>
    <mergeCell ref="H93:H95"/>
    <mergeCell ref="F101:F103"/>
    <mergeCell ref="G101:G103"/>
    <mergeCell ref="H101:H103"/>
    <mergeCell ref="B105:B108"/>
    <mergeCell ref="B88:R89"/>
    <mergeCell ref="A90:R90"/>
    <mergeCell ref="A91:B92"/>
    <mergeCell ref="C91:E91"/>
    <mergeCell ref="F91:H91"/>
    <mergeCell ref="I91:K91"/>
    <mergeCell ref="L91:N91"/>
    <mergeCell ref="O91:R91"/>
    <mergeCell ref="M83:M86"/>
    <mergeCell ref="N83:N86"/>
    <mergeCell ref="O83:O86"/>
    <mergeCell ref="P83:P86"/>
    <mergeCell ref="Q83:Q86"/>
    <mergeCell ref="R83:R86"/>
    <mergeCell ref="B83:B86"/>
    <mergeCell ref="C83:E85"/>
    <mergeCell ref="F83:F86"/>
    <mergeCell ref="G83:G86"/>
    <mergeCell ref="H83:H86"/>
    <mergeCell ref="L83:L86"/>
    <mergeCell ref="O79:O82"/>
    <mergeCell ref="P79:P82"/>
    <mergeCell ref="Q79:Q82"/>
    <mergeCell ref="R79:R82"/>
    <mergeCell ref="M79:M81"/>
    <mergeCell ref="N79:N81"/>
    <mergeCell ref="B79:B82"/>
    <mergeCell ref="C79:E81"/>
    <mergeCell ref="F79:F82"/>
    <mergeCell ref="G79:G82"/>
    <mergeCell ref="H79:H82"/>
    <mergeCell ref="L79:L81"/>
    <mergeCell ref="M75:M78"/>
    <mergeCell ref="N75:N78"/>
    <mergeCell ref="O75:O78"/>
    <mergeCell ref="P75:P78"/>
    <mergeCell ref="Q75:Q78"/>
    <mergeCell ref="R75:R78"/>
    <mergeCell ref="B75:B78"/>
    <mergeCell ref="C75:E77"/>
    <mergeCell ref="F75:F78"/>
    <mergeCell ref="G75:G78"/>
    <mergeCell ref="H75:H78"/>
    <mergeCell ref="L75:L78"/>
    <mergeCell ref="M71:M74"/>
    <mergeCell ref="N71:N74"/>
    <mergeCell ref="O71:O74"/>
    <mergeCell ref="P71:P74"/>
    <mergeCell ref="Q71:Q74"/>
    <mergeCell ref="R71:R74"/>
    <mergeCell ref="B71:B74"/>
    <mergeCell ref="C71:E73"/>
    <mergeCell ref="F71:F74"/>
    <mergeCell ref="G71:G74"/>
    <mergeCell ref="H71:H74"/>
    <mergeCell ref="L71:L74"/>
    <mergeCell ref="R63:R66"/>
    <mergeCell ref="B67:B70"/>
    <mergeCell ref="C67:E69"/>
    <mergeCell ref="O67:O70"/>
    <mergeCell ref="F44:F47"/>
    <mergeCell ref="G44:G47"/>
    <mergeCell ref="H44:H47"/>
    <mergeCell ref="P67:P70"/>
    <mergeCell ref="Q67:Q70"/>
    <mergeCell ref="R67:R70"/>
    <mergeCell ref="R59:R62"/>
    <mergeCell ref="B63:B66"/>
    <mergeCell ref="C63:E65"/>
    <mergeCell ref="F63:F66"/>
    <mergeCell ref="G63:G66"/>
    <mergeCell ref="H63:H66"/>
    <mergeCell ref="L63:L66"/>
    <mergeCell ref="M63:M66"/>
    <mergeCell ref="N63:N66"/>
    <mergeCell ref="O63:O66"/>
    <mergeCell ref="R55:R58"/>
    <mergeCell ref="C59:E61"/>
    <mergeCell ref="F59:F62"/>
    <mergeCell ref="G59:G62"/>
    <mergeCell ref="H59:H62"/>
    <mergeCell ref="L59:L62"/>
    <mergeCell ref="M59:M62"/>
    <mergeCell ref="N59:N62"/>
    <mergeCell ref="O59:O62"/>
    <mergeCell ref="P59:P62"/>
    <mergeCell ref="O55:O58"/>
    <mergeCell ref="L67:L69"/>
    <mergeCell ref="M67:M69"/>
    <mergeCell ref="N67:N69"/>
    <mergeCell ref="P55:P58"/>
    <mergeCell ref="Q55:Q58"/>
    <mergeCell ref="Q59:Q62"/>
    <mergeCell ref="P63:P66"/>
    <mergeCell ref="Q63:Q66"/>
    <mergeCell ref="N55:N57"/>
    <mergeCell ref="M51:M54"/>
    <mergeCell ref="N51:N54"/>
    <mergeCell ref="O51:O54"/>
    <mergeCell ref="P51:P54"/>
    <mergeCell ref="Q51:Q54"/>
    <mergeCell ref="R51:R54"/>
    <mergeCell ref="H51:H54"/>
    <mergeCell ref="F67:F69"/>
    <mergeCell ref="G67:G69"/>
    <mergeCell ref="H67:H69"/>
    <mergeCell ref="B59:B62"/>
    <mergeCell ref="L51:L54"/>
    <mergeCell ref="B55:B58"/>
    <mergeCell ref="C55:E57"/>
    <mergeCell ref="F55:F57"/>
    <mergeCell ref="G55:G57"/>
    <mergeCell ref="C49:E49"/>
    <mergeCell ref="F49:H49"/>
    <mergeCell ref="I49:K49"/>
    <mergeCell ref="L49:N49"/>
    <mergeCell ref="O49:R49"/>
    <mergeCell ref="A51:A86"/>
    <mergeCell ref="B51:B54"/>
    <mergeCell ref="C51:E53"/>
    <mergeCell ref="F51:F54"/>
    <mergeCell ref="G51:G54"/>
    <mergeCell ref="B24:B27"/>
    <mergeCell ref="C24:E26"/>
    <mergeCell ref="F24:F27"/>
    <mergeCell ref="B44:B47"/>
    <mergeCell ref="C44:E46"/>
    <mergeCell ref="N44:N47"/>
    <mergeCell ref="C40:E42"/>
    <mergeCell ref="N32:N34"/>
    <mergeCell ref="G24:G27"/>
    <mergeCell ref="H24:H27"/>
    <mergeCell ref="M40:M42"/>
    <mergeCell ref="Q32:Q35"/>
    <mergeCell ref="R32:R35"/>
    <mergeCell ref="O36:O39"/>
    <mergeCell ref="Q36:Q39"/>
    <mergeCell ref="N36:N38"/>
    <mergeCell ref="R36:R39"/>
    <mergeCell ref="P36:P39"/>
    <mergeCell ref="P32:P35"/>
    <mergeCell ref="G40:G42"/>
    <mergeCell ref="H55:H57"/>
    <mergeCell ref="L55:L57"/>
    <mergeCell ref="M55:M57"/>
    <mergeCell ref="R40:R43"/>
    <mergeCell ref="Q40:Q43"/>
    <mergeCell ref="O44:O47"/>
    <mergeCell ref="Q44:Q47"/>
    <mergeCell ref="O40:O43"/>
    <mergeCell ref="L40:L42"/>
    <mergeCell ref="A24:A47"/>
    <mergeCell ref="P44:P47"/>
    <mergeCell ref="R44:R47"/>
    <mergeCell ref="B36:B39"/>
    <mergeCell ref="C36:E38"/>
    <mergeCell ref="L44:L47"/>
    <mergeCell ref="M44:M47"/>
    <mergeCell ref="N40:N42"/>
    <mergeCell ref="P40:P43"/>
    <mergeCell ref="G36:G38"/>
    <mergeCell ref="A49:B50"/>
    <mergeCell ref="N28:N31"/>
    <mergeCell ref="H36:H38"/>
    <mergeCell ref="L36:L38"/>
    <mergeCell ref="M36:M38"/>
    <mergeCell ref="B40:B43"/>
    <mergeCell ref="L32:L34"/>
    <mergeCell ref="M32:M34"/>
    <mergeCell ref="A48:R48"/>
    <mergeCell ref="O28:O31"/>
    <mergeCell ref="P28:P31"/>
    <mergeCell ref="Q28:Q31"/>
    <mergeCell ref="R28:R31"/>
    <mergeCell ref="B32:B35"/>
    <mergeCell ref="C32:E34"/>
    <mergeCell ref="F32:F34"/>
    <mergeCell ref="G32:G34"/>
    <mergeCell ref="H32:H34"/>
    <mergeCell ref="O32:O35"/>
    <mergeCell ref="P24:P27"/>
    <mergeCell ref="Q24:Q27"/>
    <mergeCell ref="R24:R27"/>
    <mergeCell ref="B28:B31"/>
    <mergeCell ref="C28:E30"/>
    <mergeCell ref="F28:F31"/>
    <mergeCell ref="G28:G31"/>
    <mergeCell ref="H28:H31"/>
    <mergeCell ref="L28:L31"/>
    <mergeCell ref="M28:M31"/>
    <mergeCell ref="M20:M23"/>
    <mergeCell ref="N20:N23"/>
    <mergeCell ref="O20:O23"/>
    <mergeCell ref="L24:L27"/>
    <mergeCell ref="M24:M27"/>
    <mergeCell ref="N24:N27"/>
    <mergeCell ref="O24:O27"/>
    <mergeCell ref="Q20:Q23"/>
    <mergeCell ref="P20:P23"/>
    <mergeCell ref="R20:R23"/>
    <mergeCell ref="O16:O19"/>
    <mergeCell ref="P16:P19"/>
    <mergeCell ref="Q16:Q19"/>
    <mergeCell ref="R16:R19"/>
    <mergeCell ref="C20:E22"/>
    <mergeCell ref="F20:F23"/>
    <mergeCell ref="G20:G23"/>
    <mergeCell ref="H20:H23"/>
    <mergeCell ref="L20:L23"/>
    <mergeCell ref="C16:E18"/>
    <mergeCell ref="F16:F19"/>
    <mergeCell ref="G16:G19"/>
    <mergeCell ref="H16:H19"/>
    <mergeCell ref="L16:L19"/>
    <mergeCell ref="B12:B15"/>
    <mergeCell ref="C12:E14"/>
    <mergeCell ref="L12:L14"/>
    <mergeCell ref="M12:M14"/>
    <mergeCell ref="N12:N14"/>
    <mergeCell ref="O12:O15"/>
    <mergeCell ref="F12:F14"/>
    <mergeCell ref="G12:G14"/>
    <mergeCell ref="H12:H14"/>
    <mergeCell ref="B8:B11"/>
    <mergeCell ref="C8:E10"/>
    <mergeCell ref="F8:F11"/>
    <mergeCell ref="G8:G11"/>
    <mergeCell ref="H8:H11"/>
    <mergeCell ref="L8:L11"/>
    <mergeCell ref="N8:N11"/>
    <mergeCell ref="O8:O11"/>
    <mergeCell ref="R12:R15"/>
    <mergeCell ref="P8:P11"/>
    <mergeCell ref="Q12:Q15"/>
    <mergeCell ref="M8:M11"/>
    <mergeCell ref="R8:R11"/>
    <mergeCell ref="P12:P15"/>
    <mergeCell ref="M16:M19"/>
    <mergeCell ref="N16:N19"/>
    <mergeCell ref="O2:R2"/>
    <mergeCell ref="Q4:Q7"/>
    <mergeCell ref="L4:L6"/>
    <mergeCell ref="M4:M6"/>
    <mergeCell ref="N4:N6"/>
    <mergeCell ref="R4:R7"/>
    <mergeCell ref="O4:O7"/>
    <mergeCell ref="P4:P7"/>
    <mergeCell ref="F36:F38"/>
    <mergeCell ref="A4:A23"/>
    <mergeCell ref="Q8:Q11"/>
    <mergeCell ref="B16:B19"/>
    <mergeCell ref="B4:B7"/>
    <mergeCell ref="C4:E6"/>
    <mergeCell ref="F4:F6"/>
    <mergeCell ref="G4:G6"/>
    <mergeCell ref="H4:H6"/>
    <mergeCell ref="B20:B23"/>
    <mergeCell ref="H113:H116"/>
    <mergeCell ref="L113:L116"/>
    <mergeCell ref="M113:M116"/>
    <mergeCell ref="N101:N103"/>
    <mergeCell ref="A1:R1"/>
    <mergeCell ref="A2:B3"/>
    <mergeCell ref="C2:E2"/>
    <mergeCell ref="F2:H2"/>
    <mergeCell ref="I2:K2"/>
    <mergeCell ref="L2:N2"/>
    <mergeCell ref="L117:L120"/>
    <mergeCell ref="M117:M120"/>
    <mergeCell ref="M121:M123"/>
    <mergeCell ref="M101:M103"/>
    <mergeCell ref="L109:L112"/>
    <mergeCell ref="M109:M112"/>
    <mergeCell ref="L121:L123"/>
  </mergeCells>
  <printOptions/>
  <pageMargins left="0.7086614173228347" right="0.1968503937007874" top="0.31496062992125984" bottom="0.1968503937007874" header="0.31496062992125984" footer="0.2755905511811024"/>
  <pageSetup firstPageNumber="8" useFirstPageNumber="1" horizontalDpi="600" verticalDpi="600" orientation="portrait" paperSize="9" scale="99" r:id="rId1"/>
  <headerFooter scaleWithDoc="0" alignWithMargins="0">
    <oddFooter>&amp;C&amp;12&amp;P</oddFooter>
  </headerFooter>
  <rowBreaks count="3" manualBreakCount="3">
    <brk id="47" max="255" man="1"/>
    <brk id="89" max="255" man="1"/>
    <brk id="1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="115" zoomScaleSheetLayoutView="115" zoomScalePageLayoutView="0" workbookViewId="0" topLeftCell="A1">
      <pane ySplit="5" topLeftCell="A6" activePane="bottomLeft" state="frozen"/>
      <selection pane="topLeft" activeCell="N6" sqref="N6"/>
      <selection pane="bottomLeft" activeCell="X20" sqref="X20"/>
    </sheetView>
  </sheetViews>
  <sheetFormatPr defaultColWidth="9.00390625" defaultRowHeight="12.75" customHeight="1"/>
  <cols>
    <col min="1" max="1" width="3.50390625" style="1" customWidth="1"/>
    <col min="2" max="2" width="4.125" style="1" customWidth="1"/>
    <col min="3" max="3" width="8.75390625" style="1" customWidth="1"/>
    <col min="4" max="8" width="6.625" style="1" customWidth="1"/>
    <col min="9" max="13" width="7.625" style="1" customWidth="1"/>
    <col min="14" max="14" width="6.625" style="1" customWidth="1"/>
    <col min="15" max="21" width="12.625" style="1" customWidth="1"/>
    <col min="22" max="16384" width="9.00390625" style="1" customWidth="1"/>
  </cols>
  <sheetData>
    <row r="1" spans="1:21" ht="24.75" customHeight="1" hidden="1" thickBot="1">
      <c r="A1" s="1654" t="s">
        <v>123</v>
      </c>
      <c r="B1" s="1655"/>
      <c r="C1" s="1655"/>
      <c r="D1" s="1655"/>
      <c r="E1" s="1655"/>
      <c r="F1" s="1655" t="s">
        <v>595</v>
      </c>
      <c r="G1" s="2"/>
      <c r="H1" s="2"/>
      <c r="I1" s="3" t="s">
        <v>17</v>
      </c>
      <c r="J1" s="2"/>
      <c r="K1" s="2" t="s">
        <v>595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 hidden="1" thickBot="1">
      <c r="A2" s="17"/>
      <c r="B2" s="12"/>
      <c r="C2" s="12"/>
      <c r="D2" s="12"/>
      <c r="E2" s="12"/>
      <c r="F2" s="12"/>
      <c r="G2" s="4"/>
      <c r="H2" s="4"/>
      <c r="I2" s="4"/>
      <c r="J2" s="12"/>
      <c r="K2" s="12"/>
      <c r="L2" s="12"/>
      <c r="M2" s="4"/>
      <c r="N2" s="4"/>
      <c r="O2" s="4"/>
      <c r="P2" s="4"/>
      <c r="Q2" s="4"/>
      <c r="R2" s="4"/>
      <c r="S2" s="4"/>
      <c r="T2" s="2"/>
      <c r="U2" s="4"/>
    </row>
    <row r="3" spans="1:22" ht="24.75" customHeight="1">
      <c r="A3" s="1300" t="s">
        <v>124</v>
      </c>
      <c r="B3" s="1656"/>
      <c r="C3" s="1656"/>
      <c r="D3" s="1661" t="s">
        <v>125</v>
      </c>
      <c r="E3" s="1663" t="s">
        <v>126</v>
      </c>
      <c r="F3" s="1661" t="s">
        <v>127</v>
      </c>
      <c r="G3" s="1291" t="s">
        <v>128</v>
      </c>
      <c r="H3" s="1291"/>
      <c r="I3" s="1291"/>
      <c r="J3" s="1291"/>
      <c r="K3" s="1291"/>
      <c r="L3" s="1291"/>
      <c r="M3" s="1291"/>
      <c r="N3" s="1291"/>
      <c r="O3" s="1627" t="s">
        <v>129</v>
      </c>
      <c r="P3" s="1642" t="s">
        <v>930</v>
      </c>
      <c r="Q3" s="1643"/>
      <c r="R3" s="1643"/>
      <c r="S3" s="1643"/>
      <c r="T3" s="1643"/>
      <c r="U3" s="1627" t="s">
        <v>782</v>
      </c>
      <c r="V3" s="5"/>
    </row>
    <row r="4" spans="1:22" ht="24.75" customHeight="1">
      <c r="A4" s="1657"/>
      <c r="B4" s="1658"/>
      <c r="C4" s="1658"/>
      <c r="D4" s="1647"/>
      <c r="E4" s="1644"/>
      <c r="F4" s="1644"/>
      <c r="G4" s="1644" t="s">
        <v>130</v>
      </c>
      <c r="H4" s="1644" t="s">
        <v>131</v>
      </c>
      <c r="I4" s="1646" t="s">
        <v>132</v>
      </c>
      <c r="J4" s="1646"/>
      <c r="K4" s="1646"/>
      <c r="L4" s="1646"/>
      <c r="M4" s="1646"/>
      <c r="N4" s="1647" t="s">
        <v>133</v>
      </c>
      <c r="O4" s="1628"/>
      <c r="P4" s="1648" t="s">
        <v>134</v>
      </c>
      <c r="Q4" s="1650" t="s">
        <v>135</v>
      </c>
      <c r="R4" s="1650" t="s">
        <v>136</v>
      </c>
      <c r="S4" s="1650" t="s">
        <v>137</v>
      </c>
      <c r="T4" s="1652" t="s">
        <v>138</v>
      </c>
      <c r="U4" s="1628"/>
      <c r="V4" s="5"/>
    </row>
    <row r="5" spans="1:22" ht="24.75" customHeight="1" thickBot="1">
      <c r="A5" s="1659"/>
      <c r="B5" s="1660"/>
      <c r="C5" s="1660"/>
      <c r="D5" s="1662"/>
      <c r="E5" s="1645"/>
      <c r="F5" s="1645"/>
      <c r="G5" s="1645"/>
      <c r="H5" s="1645"/>
      <c r="I5" s="44" t="s">
        <v>139</v>
      </c>
      <c r="J5" s="44" t="s">
        <v>140</v>
      </c>
      <c r="K5" s="44" t="s">
        <v>141</v>
      </c>
      <c r="L5" s="44" t="s">
        <v>142</v>
      </c>
      <c r="M5" s="44" t="s">
        <v>143</v>
      </c>
      <c r="N5" s="1645"/>
      <c r="O5" s="1629"/>
      <c r="P5" s="1649"/>
      <c r="Q5" s="1651"/>
      <c r="R5" s="1651"/>
      <c r="S5" s="1651"/>
      <c r="T5" s="1653"/>
      <c r="U5" s="1629"/>
      <c r="V5" s="5"/>
    </row>
    <row r="6" spans="1:22" s="6" customFormat="1" ht="34.5" customHeight="1" thickBot="1">
      <c r="A6" s="1640" t="s">
        <v>31</v>
      </c>
      <c r="B6" s="1641"/>
      <c r="C6" s="1641"/>
      <c r="D6" s="669">
        <f aca="true" t="shared" si="0" ref="D6:N6">SUM(,D12,D19,,D29)</f>
        <v>293</v>
      </c>
      <c r="E6" s="669">
        <f t="shared" si="0"/>
        <v>225</v>
      </c>
      <c r="F6" s="669">
        <f t="shared" si="0"/>
        <v>226</v>
      </c>
      <c r="G6" s="669">
        <f t="shared" si="0"/>
        <v>3185</v>
      </c>
      <c r="H6" s="669">
        <f t="shared" si="0"/>
        <v>2704</v>
      </c>
      <c r="I6" s="669">
        <f t="shared" si="0"/>
        <v>371</v>
      </c>
      <c r="J6" s="669">
        <f t="shared" si="0"/>
        <v>985</v>
      </c>
      <c r="K6" s="669">
        <f t="shared" si="0"/>
        <v>199</v>
      </c>
      <c r="L6" s="669">
        <f t="shared" si="0"/>
        <v>689</v>
      </c>
      <c r="M6" s="669">
        <f t="shared" si="0"/>
        <v>460</v>
      </c>
      <c r="N6" s="669">
        <f t="shared" si="0"/>
        <v>688</v>
      </c>
      <c r="O6" s="1174"/>
      <c r="P6" s="1178">
        <f>SUM(P12,P19,P29)</f>
        <v>128</v>
      </c>
      <c r="Q6" s="669">
        <f>SUM(Q12,Q19,Q29)</f>
        <v>74</v>
      </c>
      <c r="R6" s="670">
        <f>SUM(R12,R19,R29)</f>
        <v>15</v>
      </c>
      <c r="S6" s="670">
        <f>SUM(S12,S19,S29)</f>
        <v>3</v>
      </c>
      <c r="T6" s="671">
        <f>SUM(T12,T19,T29)</f>
        <v>3</v>
      </c>
      <c r="U6" s="1174">
        <f>U12+U19+U29</f>
        <v>114</v>
      </c>
      <c r="V6" s="9"/>
    </row>
    <row r="7" spans="1:22" ht="34.5" customHeight="1">
      <c r="A7" s="1633" t="s">
        <v>144</v>
      </c>
      <c r="B7" s="1292" t="s">
        <v>18</v>
      </c>
      <c r="C7" s="1292"/>
      <c r="D7" s="672">
        <v>16</v>
      </c>
      <c r="E7" s="672">
        <v>16</v>
      </c>
      <c r="F7" s="672">
        <v>16</v>
      </c>
      <c r="G7" s="672">
        <v>320</v>
      </c>
      <c r="H7" s="673">
        <v>255</v>
      </c>
      <c r="I7" s="672">
        <v>21</v>
      </c>
      <c r="J7" s="672">
        <v>47</v>
      </c>
      <c r="K7" s="672"/>
      <c r="L7" s="672">
        <v>35</v>
      </c>
      <c r="M7" s="672">
        <f>H7-I7-J7-K7-L7</f>
        <v>152</v>
      </c>
      <c r="N7" s="674">
        <v>60</v>
      </c>
      <c r="O7" s="693">
        <v>2</v>
      </c>
      <c r="P7" s="1179"/>
      <c r="Q7" s="674">
        <v>2</v>
      </c>
      <c r="R7" s="674">
        <v>12</v>
      </c>
      <c r="S7" s="674">
        <v>2</v>
      </c>
      <c r="T7" s="675"/>
      <c r="U7" s="693"/>
      <c r="V7" s="5"/>
    </row>
    <row r="8" spans="1:22" ht="34.5" customHeight="1">
      <c r="A8" s="1634"/>
      <c r="B8" s="1287" t="s">
        <v>19</v>
      </c>
      <c r="C8" s="1287"/>
      <c r="D8" s="676">
        <v>29</v>
      </c>
      <c r="E8" s="676">
        <v>1</v>
      </c>
      <c r="F8" s="676">
        <v>1</v>
      </c>
      <c r="G8" s="676">
        <v>25</v>
      </c>
      <c r="H8" s="673">
        <v>17</v>
      </c>
      <c r="I8" s="676">
        <v>4</v>
      </c>
      <c r="J8" s="676">
        <v>8</v>
      </c>
      <c r="K8" s="676">
        <v>2</v>
      </c>
      <c r="L8" s="676">
        <v>3</v>
      </c>
      <c r="M8" s="676"/>
      <c r="N8" s="673">
        <v>5</v>
      </c>
      <c r="O8" s="689">
        <v>2</v>
      </c>
      <c r="P8" s="1180"/>
      <c r="Q8" s="673">
        <v>1</v>
      </c>
      <c r="R8" s="673"/>
      <c r="S8" s="673"/>
      <c r="T8" s="677"/>
      <c r="U8" s="689">
        <v>1</v>
      </c>
      <c r="V8" s="5"/>
    </row>
    <row r="9" spans="1:22" ht="34.5" customHeight="1">
      <c r="A9" s="1634"/>
      <c r="B9" s="1636" t="s">
        <v>39</v>
      </c>
      <c r="C9" s="1636"/>
      <c r="D9" s="678">
        <v>19</v>
      </c>
      <c r="E9" s="678">
        <v>13</v>
      </c>
      <c r="F9" s="678">
        <v>13</v>
      </c>
      <c r="G9" s="678">
        <v>169</v>
      </c>
      <c r="H9" s="673">
        <v>164</v>
      </c>
      <c r="I9" s="678">
        <v>38</v>
      </c>
      <c r="J9" s="678">
        <v>73</v>
      </c>
      <c r="K9" s="678">
        <v>5</v>
      </c>
      <c r="L9" s="678">
        <v>48</v>
      </c>
      <c r="M9" s="676"/>
      <c r="N9" s="679">
        <v>36</v>
      </c>
      <c r="O9" s="1175">
        <v>2</v>
      </c>
      <c r="P9" s="1181">
        <v>5</v>
      </c>
      <c r="Q9" s="679">
        <v>8</v>
      </c>
      <c r="R9" s="679"/>
      <c r="S9" s="679"/>
      <c r="T9" s="680"/>
      <c r="U9" s="1175">
        <v>2</v>
      </c>
      <c r="V9" s="5"/>
    </row>
    <row r="10" spans="1:22" ht="34.5" customHeight="1">
      <c r="A10" s="1634"/>
      <c r="B10" s="1287" t="s">
        <v>21</v>
      </c>
      <c r="C10" s="1287"/>
      <c r="D10" s="676">
        <v>23</v>
      </c>
      <c r="E10" s="676">
        <v>23</v>
      </c>
      <c r="F10" s="676">
        <v>23</v>
      </c>
      <c r="G10" s="676">
        <v>276</v>
      </c>
      <c r="H10" s="673">
        <v>276</v>
      </c>
      <c r="I10" s="676">
        <v>46</v>
      </c>
      <c r="J10" s="676">
        <v>90</v>
      </c>
      <c r="K10" s="676">
        <v>22</v>
      </c>
      <c r="L10" s="676">
        <v>118</v>
      </c>
      <c r="M10" s="676"/>
      <c r="N10" s="673">
        <v>125</v>
      </c>
      <c r="O10" s="689">
        <v>2</v>
      </c>
      <c r="P10" s="1180">
        <v>23</v>
      </c>
      <c r="Q10" s="673"/>
      <c r="R10" s="673"/>
      <c r="S10" s="673"/>
      <c r="T10" s="677"/>
      <c r="U10" s="689">
        <v>23</v>
      </c>
      <c r="V10" s="5"/>
    </row>
    <row r="11" spans="1:22" ht="34.5" customHeight="1" thickBot="1">
      <c r="A11" s="1634"/>
      <c r="B11" s="1288" t="s">
        <v>40</v>
      </c>
      <c r="C11" s="1288"/>
      <c r="D11" s="1170">
        <v>4</v>
      </c>
      <c r="E11" s="1170">
        <v>1</v>
      </c>
      <c r="F11" s="1170">
        <v>1</v>
      </c>
      <c r="G11" s="1170">
        <v>10</v>
      </c>
      <c r="H11" s="1170">
        <v>9</v>
      </c>
      <c r="I11" s="1170">
        <v>2</v>
      </c>
      <c r="J11" s="1170">
        <v>4</v>
      </c>
      <c r="K11" s="1170">
        <v>2</v>
      </c>
      <c r="L11" s="1170">
        <v>1</v>
      </c>
      <c r="M11" s="1171"/>
      <c r="N11" s="1170">
        <v>5</v>
      </c>
      <c r="O11" s="1176">
        <v>2</v>
      </c>
      <c r="P11" s="1182"/>
      <c r="Q11" s="1170"/>
      <c r="R11" s="1170"/>
      <c r="S11" s="1170"/>
      <c r="T11" s="1172"/>
      <c r="U11" s="1176"/>
      <c r="V11" s="5"/>
    </row>
    <row r="12" spans="1:22" ht="34.5" customHeight="1" thickBot="1" thickTop="1">
      <c r="A12" s="1635"/>
      <c r="B12" s="1630" t="s">
        <v>20</v>
      </c>
      <c r="C12" s="1630"/>
      <c r="D12" s="681">
        <f aca="true" t="shared" si="1" ref="D12:N12">SUM(D7:D11)</f>
        <v>91</v>
      </c>
      <c r="E12" s="681">
        <f t="shared" si="1"/>
        <v>54</v>
      </c>
      <c r="F12" s="681">
        <f t="shared" si="1"/>
        <v>54</v>
      </c>
      <c r="G12" s="681">
        <f t="shared" si="1"/>
        <v>800</v>
      </c>
      <c r="H12" s="681">
        <f>SUM(H7:H11)</f>
        <v>721</v>
      </c>
      <c r="I12" s="681">
        <f t="shared" si="1"/>
        <v>111</v>
      </c>
      <c r="J12" s="681">
        <f t="shared" si="1"/>
        <v>222</v>
      </c>
      <c r="K12" s="681">
        <f t="shared" si="1"/>
        <v>31</v>
      </c>
      <c r="L12" s="681">
        <f t="shared" si="1"/>
        <v>205</v>
      </c>
      <c r="M12" s="681">
        <f t="shared" si="1"/>
        <v>152</v>
      </c>
      <c r="N12" s="681">
        <f t="shared" si="1"/>
        <v>231</v>
      </c>
      <c r="O12" s="1177"/>
      <c r="P12" s="1183">
        <f aca="true" t="shared" si="2" ref="P12:U12">SUM(P7:P11)</f>
        <v>28</v>
      </c>
      <c r="Q12" s="681">
        <f t="shared" si="2"/>
        <v>11</v>
      </c>
      <c r="R12" s="682">
        <f t="shared" si="2"/>
        <v>12</v>
      </c>
      <c r="S12" s="682">
        <f t="shared" si="2"/>
        <v>2</v>
      </c>
      <c r="T12" s="684">
        <f t="shared" si="2"/>
        <v>0</v>
      </c>
      <c r="U12" s="1177">
        <f t="shared" si="2"/>
        <v>26</v>
      </c>
      <c r="V12" s="5"/>
    </row>
    <row r="13" spans="1:22" ht="34.5" customHeight="1">
      <c r="A13" s="1637" t="s">
        <v>145</v>
      </c>
      <c r="B13" s="1292" t="s">
        <v>22</v>
      </c>
      <c r="C13" s="1292"/>
      <c r="D13" s="672">
        <v>41</v>
      </c>
      <c r="E13" s="672">
        <v>41</v>
      </c>
      <c r="F13" s="672">
        <v>41</v>
      </c>
      <c r="G13" s="672">
        <v>500</v>
      </c>
      <c r="H13" s="673">
        <v>486</v>
      </c>
      <c r="I13" s="672">
        <v>97</v>
      </c>
      <c r="J13" s="672">
        <v>262</v>
      </c>
      <c r="K13" s="672">
        <v>47</v>
      </c>
      <c r="L13" s="672">
        <v>46</v>
      </c>
      <c r="M13" s="672">
        <f aca="true" t="shared" si="3" ref="M13:M29">H13-I13-J13-K13-L13</f>
        <v>34</v>
      </c>
      <c r="N13" s="674">
        <v>124</v>
      </c>
      <c r="O13" s="693">
        <v>2</v>
      </c>
      <c r="P13" s="1179">
        <v>26</v>
      </c>
      <c r="Q13" s="674">
        <v>14</v>
      </c>
      <c r="R13" s="674">
        <v>1</v>
      </c>
      <c r="S13" s="674"/>
      <c r="T13" s="675"/>
      <c r="U13" s="693">
        <v>22</v>
      </c>
      <c r="V13" s="5"/>
    </row>
    <row r="14" spans="1:22" ht="34.5" customHeight="1">
      <c r="A14" s="1638"/>
      <c r="B14" s="1287" t="s">
        <v>23</v>
      </c>
      <c r="C14" s="1287"/>
      <c r="D14" s="676">
        <v>7</v>
      </c>
      <c r="E14" s="676">
        <v>1</v>
      </c>
      <c r="F14" s="676">
        <v>1</v>
      </c>
      <c r="G14" s="676">
        <v>10</v>
      </c>
      <c r="H14" s="673">
        <v>10</v>
      </c>
      <c r="I14" s="676">
        <v>2</v>
      </c>
      <c r="J14" s="676">
        <v>2</v>
      </c>
      <c r="K14" s="676">
        <v>2</v>
      </c>
      <c r="L14" s="676">
        <v>4</v>
      </c>
      <c r="M14" s="676"/>
      <c r="N14" s="673">
        <v>4</v>
      </c>
      <c r="O14" s="689">
        <v>2</v>
      </c>
      <c r="P14" s="1180">
        <v>1</v>
      </c>
      <c r="Q14" s="673"/>
      <c r="R14" s="673"/>
      <c r="S14" s="673"/>
      <c r="T14" s="677"/>
      <c r="U14" s="689">
        <v>1</v>
      </c>
      <c r="V14" s="5"/>
    </row>
    <row r="15" spans="1:22" ht="34.5" customHeight="1">
      <c r="A15" s="1638"/>
      <c r="B15" s="1287" t="s">
        <v>41</v>
      </c>
      <c r="C15" s="1287"/>
      <c r="D15" s="676">
        <v>2</v>
      </c>
      <c r="E15" s="676">
        <v>1</v>
      </c>
      <c r="F15" s="676">
        <v>1</v>
      </c>
      <c r="G15" s="676">
        <v>15</v>
      </c>
      <c r="H15" s="673">
        <v>14</v>
      </c>
      <c r="I15" s="676">
        <v>2</v>
      </c>
      <c r="J15" s="676">
        <v>9</v>
      </c>
      <c r="K15" s="676">
        <v>1</v>
      </c>
      <c r="L15" s="676">
        <v>2</v>
      </c>
      <c r="M15" s="676"/>
      <c r="N15" s="673">
        <v>3</v>
      </c>
      <c r="O15" s="689">
        <v>2</v>
      </c>
      <c r="P15" s="1180">
        <v>1</v>
      </c>
      <c r="Q15" s="673"/>
      <c r="R15" s="673"/>
      <c r="S15" s="673"/>
      <c r="T15" s="677"/>
      <c r="U15" s="689">
        <v>1</v>
      </c>
      <c r="V15" s="5"/>
    </row>
    <row r="16" spans="1:22" ht="34.5" customHeight="1">
      <c r="A16" s="1638"/>
      <c r="B16" s="1287" t="s">
        <v>42</v>
      </c>
      <c r="C16" s="1287"/>
      <c r="D16" s="673">
        <v>5</v>
      </c>
      <c r="E16" s="673">
        <v>1</v>
      </c>
      <c r="F16" s="673">
        <v>1</v>
      </c>
      <c r="G16" s="673">
        <v>25</v>
      </c>
      <c r="H16" s="673"/>
      <c r="I16" s="673"/>
      <c r="J16" s="673"/>
      <c r="K16" s="673"/>
      <c r="L16" s="673"/>
      <c r="M16" s="676"/>
      <c r="N16" s="673"/>
      <c r="O16" s="689">
        <v>2</v>
      </c>
      <c r="P16" s="1180"/>
      <c r="Q16" s="673"/>
      <c r="R16" s="673"/>
      <c r="S16" s="673"/>
      <c r="T16" s="677"/>
      <c r="U16" s="689"/>
      <c r="V16" s="5"/>
    </row>
    <row r="17" spans="1:22" ht="34.5" customHeight="1">
      <c r="A17" s="1638"/>
      <c r="B17" s="1287" t="s">
        <v>51</v>
      </c>
      <c r="C17" s="1287" t="s">
        <v>24</v>
      </c>
      <c r="D17" s="676">
        <v>4</v>
      </c>
      <c r="E17" s="676">
        <v>1</v>
      </c>
      <c r="F17" s="676">
        <v>1</v>
      </c>
      <c r="G17" s="676">
        <v>10</v>
      </c>
      <c r="H17" s="673">
        <v>9</v>
      </c>
      <c r="I17" s="676">
        <v>2</v>
      </c>
      <c r="J17" s="676">
        <v>6</v>
      </c>
      <c r="K17" s="676">
        <v>1</v>
      </c>
      <c r="L17" s="676"/>
      <c r="M17" s="676"/>
      <c r="N17" s="673">
        <v>2</v>
      </c>
      <c r="O17" s="689">
        <v>2</v>
      </c>
      <c r="P17" s="1180"/>
      <c r="Q17" s="673">
        <v>1</v>
      </c>
      <c r="R17" s="673"/>
      <c r="S17" s="673"/>
      <c r="T17" s="677"/>
      <c r="U17" s="689">
        <v>1</v>
      </c>
      <c r="V17" s="5"/>
    </row>
    <row r="18" spans="1:22" ht="34.5" customHeight="1" thickBot="1">
      <c r="A18" s="1638"/>
      <c r="B18" s="1288" t="s">
        <v>52</v>
      </c>
      <c r="C18" s="1288" t="s">
        <v>24</v>
      </c>
      <c r="D18" s="1171">
        <v>4</v>
      </c>
      <c r="E18" s="1171">
        <v>1</v>
      </c>
      <c r="F18" s="1171">
        <v>1</v>
      </c>
      <c r="G18" s="1171">
        <v>10</v>
      </c>
      <c r="H18" s="1170">
        <v>10</v>
      </c>
      <c r="I18" s="1171">
        <v>1</v>
      </c>
      <c r="J18" s="1171">
        <v>7</v>
      </c>
      <c r="K18" s="1171">
        <v>1</v>
      </c>
      <c r="L18" s="1171">
        <v>1</v>
      </c>
      <c r="M18" s="1171"/>
      <c r="N18" s="1170">
        <v>2</v>
      </c>
      <c r="O18" s="1176">
        <v>2</v>
      </c>
      <c r="P18" s="1182"/>
      <c r="Q18" s="1170">
        <v>1</v>
      </c>
      <c r="R18" s="1170"/>
      <c r="S18" s="1170"/>
      <c r="T18" s="1172"/>
      <c r="U18" s="1176">
        <v>1</v>
      </c>
      <c r="V18" s="5"/>
    </row>
    <row r="19" spans="1:22" ht="34.5" customHeight="1" thickBot="1" thickTop="1">
      <c r="A19" s="1639"/>
      <c r="B19" s="1630" t="s">
        <v>20</v>
      </c>
      <c r="C19" s="1630"/>
      <c r="D19" s="682">
        <f aca="true" t="shared" si="4" ref="D19:L19">SUM(D13:D18)</f>
        <v>63</v>
      </c>
      <c r="E19" s="682">
        <f t="shared" si="4"/>
        <v>46</v>
      </c>
      <c r="F19" s="683">
        <f t="shared" si="4"/>
        <v>46</v>
      </c>
      <c r="G19" s="683">
        <f t="shared" si="4"/>
        <v>570</v>
      </c>
      <c r="H19" s="682">
        <f>SUM(H13:H18)</f>
        <v>529</v>
      </c>
      <c r="I19" s="683">
        <f t="shared" si="4"/>
        <v>104</v>
      </c>
      <c r="J19" s="683">
        <f t="shared" si="4"/>
        <v>286</v>
      </c>
      <c r="K19" s="682">
        <f t="shared" si="4"/>
        <v>52</v>
      </c>
      <c r="L19" s="682">
        <f t="shared" si="4"/>
        <v>53</v>
      </c>
      <c r="M19" s="1173">
        <f t="shared" si="3"/>
        <v>34</v>
      </c>
      <c r="N19" s="682">
        <f>SUM(N13:N18)</f>
        <v>135</v>
      </c>
      <c r="O19" s="1177"/>
      <c r="P19" s="1183">
        <f aca="true" t="shared" si="5" ref="P19:U19">SUM(P13:P18)</f>
        <v>28</v>
      </c>
      <c r="Q19" s="682">
        <f t="shared" si="5"/>
        <v>16</v>
      </c>
      <c r="R19" s="682">
        <f t="shared" si="5"/>
        <v>1</v>
      </c>
      <c r="S19" s="682">
        <f t="shared" si="5"/>
        <v>0</v>
      </c>
      <c r="T19" s="684">
        <f t="shared" si="5"/>
        <v>0</v>
      </c>
      <c r="U19" s="1177">
        <f t="shared" si="5"/>
        <v>26</v>
      </c>
      <c r="V19" s="5"/>
    </row>
    <row r="20" spans="1:22" ht="34.5" customHeight="1">
      <c r="A20" s="1633" t="s">
        <v>146</v>
      </c>
      <c r="B20" s="1292" t="s">
        <v>25</v>
      </c>
      <c r="C20" s="1292"/>
      <c r="D20" s="672">
        <v>18</v>
      </c>
      <c r="E20" s="672">
        <v>18</v>
      </c>
      <c r="F20" s="672">
        <v>18</v>
      </c>
      <c r="G20" s="672">
        <v>525</v>
      </c>
      <c r="H20" s="685">
        <v>452</v>
      </c>
      <c r="I20" s="672">
        <v>35</v>
      </c>
      <c r="J20" s="672">
        <v>182</v>
      </c>
      <c r="K20" s="672">
        <v>74</v>
      </c>
      <c r="L20" s="672">
        <v>101</v>
      </c>
      <c r="M20" s="676">
        <f>H20-I20-J20-K20-L20</f>
        <v>60</v>
      </c>
      <c r="N20" s="674">
        <v>101</v>
      </c>
      <c r="O20" s="693">
        <v>2</v>
      </c>
      <c r="P20" s="1179">
        <v>5</v>
      </c>
      <c r="Q20" s="674">
        <v>7</v>
      </c>
      <c r="R20" s="674">
        <v>2</v>
      </c>
      <c r="S20" s="674">
        <v>1</v>
      </c>
      <c r="T20" s="675">
        <v>3</v>
      </c>
      <c r="U20" s="693"/>
      <c r="V20" s="5"/>
    </row>
    <row r="21" spans="1:22" ht="34.5" customHeight="1">
      <c r="A21" s="1634"/>
      <c r="B21" s="1287" t="s">
        <v>26</v>
      </c>
      <c r="C21" s="1287"/>
      <c r="D21" s="676">
        <v>24</v>
      </c>
      <c r="E21" s="676">
        <v>24</v>
      </c>
      <c r="F21" s="676">
        <v>24</v>
      </c>
      <c r="G21" s="676">
        <v>245</v>
      </c>
      <c r="H21" s="673">
        <v>235</v>
      </c>
      <c r="I21" s="676">
        <v>27</v>
      </c>
      <c r="J21" s="676">
        <v>70</v>
      </c>
      <c r="K21" s="676">
        <v>13</v>
      </c>
      <c r="L21" s="676">
        <v>107</v>
      </c>
      <c r="M21" s="676">
        <f t="shared" si="3"/>
        <v>18</v>
      </c>
      <c r="N21" s="673">
        <v>49</v>
      </c>
      <c r="O21" s="689">
        <v>2</v>
      </c>
      <c r="P21" s="1180">
        <v>20</v>
      </c>
      <c r="Q21" s="673">
        <v>4</v>
      </c>
      <c r="R21" s="673"/>
      <c r="S21" s="673"/>
      <c r="T21" s="677"/>
      <c r="U21" s="689">
        <v>2</v>
      </c>
      <c r="V21" s="5"/>
    </row>
    <row r="22" spans="1:22" ht="34.5" customHeight="1">
      <c r="A22" s="1634"/>
      <c r="B22" s="1287" t="s">
        <v>43</v>
      </c>
      <c r="C22" s="1287"/>
      <c r="D22" s="673">
        <v>25</v>
      </c>
      <c r="E22" s="673">
        <v>24</v>
      </c>
      <c r="F22" s="673">
        <v>24</v>
      </c>
      <c r="G22" s="673">
        <v>360</v>
      </c>
      <c r="H22" s="673">
        <v>234</v>
      </c>
      <c r="I22" s="673">
        <v>24</v>
      </c>
      <c r="J22" s="673">
        <v>68</v>
      </c>
      <c r="K22" s="673">
        <v>8</v>
      </c>
      <c r="L22" s="673">
        <v>126</v>
      </c>
      <c r="M22" s="676">
        <f t="shared" si="3"/>
        <v>8</v>
      </c>
      <c r="N22" s="673">
        <v>67</v>
      </c>
      <c r="O22" s="1175">
        <v>2</v>
      </c>
      <c r="P22" s="1180">
        <v>17</v>
      </c>
      <c r="Q22" s="673">
        <v>7</v>
      </c>
      <c r="R22" s="673"/>
      <c r="S22" s="673"/>
      <c r="T22" s="677"/>
      <c r="U22" s="689">
        <v>23</v>
      </c>
      <c r="V22" s="5"/>
    </row>
    <row r="23" spans="1:22" ht="34.5" customHeight="1">
      <c r="A23" s="1634"/>
      <c r="B23" s="1287" t="s">
        <v>44</v>
      </c>
      <c r="C23" s="1287"/>
      <c r="D23" s="676">
        <v>5</v>
      </c>
      <c r="E23" s="676">
        <v>5</v>
      </c>
      <c r="F23" s="676">
        <v>5</v>
      </c>
      <c r="G23" s="676">
        <v>74</v>
      </c>
      <c r="H23" s="673">
        <v>65</v>
      </c>
      <c r="I23" s="676">
        <v>14</v>
      </c>
      <c r="J23" s="676">
        <v>26</v>
      </c>
      <c r="K23" s="676">
        <v>6</v>
      </c>
      <c r="L23" s="676">
        <v>9</v>
      </c>
      <c r="M23" s="676">
        <f t="shared" si="3"/>
        <v>10</v>
      </c>
      <c r="N23" s="673">
        <v>13</v>
      </c>
      <c r="O23" s="689">
        <v>2</v>
      </c>
      <c r="P23" s="1180">
        <v>1</v>
      </c>
      <c r="Q23" s="673">
        <v>4</v>
      </c>
      <c r="R23" s="673"/>
      <c r="S23" s="673"/>
      <c r="T23" s="677"/>
      <c r="U23" s="689"/>
      <c r="V23" s="5"/>
    </row>
    <row r="24" spans="1:22" ht="34.5" customHeight="1">
      <c r="A24" s="1634"/>
      <c r="B24" s="1636" t="s">
        <v>53</v>
      </c>
      <c r="C24" s="1636"/>
      <c r="D24" s="678">
        <v>4</v>
      </c>
      <c r="E24" s="678">
        <v>1</v>
      </c>
      <c r="F24" s="678">
        <v>1</v>
      </c>
      <c r="G24" s="678">
        <v>10</v>
      </c>
      <c r="H24" s="673">
        <v>10</v>
      </c>
      <c r="I24" s="678">
        <v>2</v>
      </c>
      <c r="J24" s="678">
        <v>4</v>
      </c>
      <c r="K24" s="678">
        <v>2</v>
      </c>
      <c r="L24" s="678">
        <v>1</v>
      </c>
      <c r="M24" s="676">
        <f t="shared" si="3"/>
        <v>1</v>
      </c>
      <c r="N24" s="679">
        <v>5</v>
      </c>
      <c r="O24" s="690">
        <v>2</v>
      </c>
      <c r="P24" s="1181"/>
      <c r="Q24" s="679">
        <v>1</v>
      </c>
      <c r="R24" s="679"/>
      <c r="S24" s="679"/>
      <c r="T24" s="680"/>
      <c r="U24" s="690"/>
      <c r="V24" s="5"/>
    </row>
    <row r="25" spans="1:22" ht="34.5" customHeight="1">
      <c r="A25" s="1634"/>
      <c r="B25" s="1287" t="s">
        <v>27</v>
      </c>
      <c r="C25" s="1287"/>
      <c r="D25" s="676">
        <v>31</v>
      </c>
      <c r="E25" s="676">
        <v>30</v>
      </c>
      <c r="F25" s="676">
        <v>30</v>
      </c>
      <c r="G25" s="676">
        <v>300</v>
      </c>
      <c r="H25" s="673">
        <v>292</v>
      </c>
      <c r="I25" s="676">
        <v>20</v>
      </c>
      <c r="J25" s="676">
        <v>49</v>
      </c>
      <c r="K25" s="676">
        <v>3</v>
      </c>
      <c r="L25" s="676">
        <v>49</v>
      </c>
      <c r="M25" s="676">
        <f t="shared" si="3"/>
        <v>171</v>
      </c>
      <c r="N25" s="673">
        <v>52</v>
      </c>
      <c r="O25" s="689">
        <v>2</v>
      </c>
      <c r="P25" s="1180">
        <v>8</v>
      </c>
      <c r="Q25" s="673">
        <v>22</v>
      </c>
      <c r="R25" s="673"/>
      <c r="S25" s="673"/>
      <c r="T25" s="677"/>
      <c r="U25" s="689">
        <v>30</v>
      </c>
      <c r="V25" s="5"/>
    </row>
    <row r="26" spans="1:22" ht="34.5" customHeight="1">
      <c r="A26" s="1634"/>
      <c r="B26" s="1287" t="s">
        <v>54</v>
      </c>
      <c r="C26" s="1287"/>
      <c r="D26" s="673">
        <v>4</v>
      </c>
      <c r="E26" s="673"/>
      <c r="F26" s="673">
        <v>1</v>
      </c>
      <c r="G26" s="673">
        <v>15</v>
      </c>
      <c r="H26" s="673"/>
      <c r="I26" s="673"/>
      <c r="J26" s="673"/>
      <c r="K26" s="673"/>
      <c r="L26" s="673"/>
      <c r="M26" s="676"/>
      <c r="N26" s="673"/>
      <c r="O26" s="689">
        <v>2</v>
      </c>
      <c r="P26" s="1180"/>
      <c r="Q26" s="673"/>
      <c r="R26" s="673"/>
      <c r="S26" s="673"/>
      <c r="T26" s="677"/>
      <c r="U26" s="689"/>
      <c r="V26" s="5"/>
    </row>
    <row r="27" spans="1:22" ht="34.5" customHeight="1">
      <c r="A27" s="1634"/>
      <c r="B27" s="1287" t="s">
        <v>45</v>
      </c>
      <c r="C27" s="1287"/>
      <c r="D27" s="676">
        <v>7</v>
      </c>
      <c r="E27" s="676">
        <v>7</v>
      </c>
      <c r="F27" s="676">
        <v>7</v>
      </c>
      <c r="G27" s="676">
        <v>46</v>
      </c>
      <c r="H27" s="673">
        <v>46</v>
      </c>
      <c r="I27" s="676">
        <v>7</v>
      </c>
      <c r="J27" s="676">
        <v>21</v>
      </c>
      <c r="K27" s="676">
        <v>0</v>
      </c>
      <c r="L27" s="676">
        <v>18</v>
      </c>
      <c r="M27" s="676"/>
      <c r="N27" s="673">
        <v>9</v>
      </c>
      <c r="O27" s="689">
        <v>2</v>
      </c>
      <c r="P27" s="1180">
        <v>5</v>
      </c>
      <c r="Q27" s="673">
        <v>2</v>
      </c>
      <c r="R27" s="673"/>
      <c r="S27" s="673"/>
      <c r="T27" s="677"/>
      <c r="U27" s="689">
        <v>7</v>
      </c>
      <c r="V27" s="5"/>
    </row>
    <row r="28" spans="1:22" ht="34.5" customHeight="1" thickBot="1">
      <c r="A28" s="1634"/>
      <c r="B28" s="1288" t="s">
        <v>46</v>
      </c>
      <c r="C28" s="1288"/>
      <c r="D28" s="1171">
        <v>21</v>
      </c>
      <c r="E28" s="1171">
        <v>16</v>
      </c>
      <c r="F28" s="1171">
        <v>16</v>
      </c>
      <c r="G28" s="1171">
        <v>240</v>
      </c>
      <c r="H28" s="1170">
        <v>120</v>
      </c>
      <c r="I28" s="1171">
        <v>27</v>
      </c>
      <c r="J28" s="1171">
        <v>57</v>
      </c>
      <c r="K28" s="1171">
        <v>10</v>
      </c>
      <c r="L28" s="1171">
        <v>20</v>
      </c>
      <c r="M28" s="1171">
        <f t="shared" si="3"/>
        <v>6</v>
      </c>
      <c r="N28" s="1170">
        <v>26</v>
      </c>
      <c r="O28" s="1176">
        <v>2</v>
      </c>
      <c r="P28" s="1182">
        <v>16</v>
      </c>
      <c r="Q28" s="1170"/>
      <c r="R28" s="1170"/>
      <c r="S28" s="1170"/>
      <c r="T28" s="1172"/>
      <c r="U28" s="1176"/>
      <c r="V28" s="5"/>
    </row>
    <row r="29" spans="1:22" ht="34.5" customHeight="1" thickBot="1" thickTop="1">
      <c r="A29" s="1635"/>
      <c r="B29" s="1630" t="s">
        <v>20</v>
      </c>
      <c r="C29" s="1630"/>
      <c r="D29" s="682">
        <f aca="true" t="shared" si="6" ref="D29:N29">SUM(D20:D28)</f>
        <v>139</v>
      </c>
      <c r="E29" s="682">
        <f t="shared" si="6"/>
        <v>125</v>
      </c>
      <c r="F29" s="682">
        <f t="shared" si="6"/>
        <v>126</v>
      </c>
      <c r="G29" s="682">
        <f t="shared" si="6"/>
        <v>1815</v>
      </c>
      <c r="H29" s="682">
        <f t="shared" si="6"/>
        <v>1454</v>
      </c>
      <c r="I29" s="682">
        <f t="shared" si="6"/>
        <v>156</v>
      </c>
      <c r="J29" s="682">
        <f t="shared" si="6"/>
        <v>477</v>
      </c>
      <c r="K29" s="682">
        <f t="shared" si="6"/>
        <v>116</v>
      </c>
      <c r="L29" s="682">
        <f>SUM(L20:L28)</f>
        <v>431</v>
      </c>
      <c r="M29" s="1173">
        <f t="shared" si="3"/>
        <v>274</v>
      </c>
      <c r="N29" s="682">
        <f t="shared" si="6"/>
        <v>322</v>
      </c>
      <c r="O29" s="1177"/>
      <c r="P29" s="1183">
        <f aca="true" t="shared" si="7" ref="P29:U29">SUM(P20:P28)</f>
        <v>72</v>
      </c>
      <c r="Q29" s="682">
        <f t="shared" si="7"/>
        <v>47</v>
      </c>
      <c r="R29" s="682">
        <f t="shared" si="7"/>
        <v>2</v>
      </c>
      <c r="S29" s="682">
        <f t="shared" si="7"/>
        <v>1</v>
      </c>
      <c r="T29" s="684">
        <f t="shared" si="7"/>
        <v>3</v>
      </c>
      <c r="U29" s="1177">
        <f t="shared" si="7"/>
        <v>62</v>
      </c>
      <c r="V29" s="5"/>
    </row>
    <row r="30" spans="1:21" ht="13.5" customHeight="1">
      <c r="A30" s="45"/>
      <c r="B30" s="46"/>
      <c r="C30" s="46"/>
      <c r="D30" s="1631"/>
      <c r="E30" s="1632"/>
      <c r="F30" s="1632"/>
      <c r="G30" s="1632"/>
      <c r="H30" s="1632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47"/>
    </row>
  </sheetData>
  <sheetProtection/>
  <mergeCells count="46">
    <mergeCell ref="A1:F1"/>
    <mergeCell ref="A3:C5"/>
    <mergeCell ref="D3:D5"/>
    <mergeCell ref="E3:E5"/>
    <mergeCell ref="F3:F5"/>
    <mergeCell ref="G3:N3"/>
    <mergeCell ref="P3:T3"/>
    <mergeCell ref="G4:G5"/>
    <mergeCell ref="H4:H5"/>
    <mergeCell ref="I4:M4"/>
    <mergeCell ref="N4:N5"/>
    <mergeCell ref="P4:P5"/>
    <mergeCell ref="Q4:Q5"/>
    <mergeCell ref="R4:R5"/>
    <mergeCell ref="S4:S5"/>
    <mergeCell ref="T4:T5"/>
    <mergeCell ref="B17:C17"/>
    <mergeCell ref="B18:C18"/>
    <mergeCell ref="A6:C6"/>
    <mergeCell ref="A7:A12"/>
    <mergeCell ref="B7:C7"/>
    <mergeCell ref="B8:C8"/>
    <mergeCell ref="B9:C9"/>
    <mergeCell ref="B10:C10"/>
    <mergeCell ref="B11:C11"/>
    <mergeCell ref="B12:C12"/>
    <mergeCell ref="B24:C24"/>
    <mergeCell ref="B25:C25"/>
    <mergeCell ref="O3:O5"/>
    <mergeCell ref="B27:C27"/>
    <mergeCell ref="B28:C28"/>
    <mergeCell ref="A13:A19"/>
    <mergeCell ref="B13:C13"/>
    <mergeCell ref="B14:C14"/>
    <mergeCell ref="B15:C15"/>
    <mergeCell ref="B16:C16"/>
    <mergeCell ref="U3:U5"/>
    <mergeCell ref="B26:C26"/>
    <mergeCell ref="B19:C19"/>
    <mergeCell ref="B29:C29"/>
    <mergeCell ref="D30:H30"/>
    <mergeCell ref="A20:A29"/>
    <mergeCell ref="B20:C20"/>
    <mergeCell ref="B21:C21"/>
    <mergeCell ref="B22:C22"/>
    <mergeCell ref="B23:C23"/>
  </mergeCells>
  <printOptions/>
  <pageMargins left="0.7086614173228347" right="0.1968503937007874" top="1.062992125984252" bottom="0.1968503937007874" header="0.7874015748031497" footer="0.3937007874015748"/>
  <pageSetup firstPageNumber="12" useFirstPageNumber="1" fitToWidth="2" horizontalDpi="600" verticalDpi="600" orientation="portrait" paperSize="9" scale="88" r:id="rId1"/>
  <headerFooter scaleWithDoc="0" alignWithMargins="0">
    <oddHeader>&amp;L&amp;"ＭＳ Ｐゴシック,太字"&amp;10 ５　公民館運営審議会
</oddHeader>
    <oddFooter>&amp;C&amp;12&amp;P</oddFooter>
  </headerFooter>
  <colBreaks count="1" manualBreakCount="1">
    <brk id="15" min="2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41"/>
  <sheetViews>
    <sheetView showZeros="0" view="pageBreakPreview" zoomScaleNormal="75" zoomScaleSheetLayoutView="100" zoomScalePageLayoutView="0" workbookViewId="0" topLeftCell="A2">
      <pane ySplit="5" topLeftCell="A7" activePane="bottomLeft" state="frozen"/>
      <selection pane="topLeft" activeCell="N6" sqref="N6"/>
      <selection pane="bottomLeft" activeCell="N6" sqref="N6"/>
    </sheetView>
  </sheetViews>
  <sheetFormatPr defaultColWidth="9.00390625" defaultRowHeight="12.75" customHeight="1"/>
  <cols>
    <col min="1" max="1" width="3.50390625" style="1" customWidth="1"/>
    <col min="2" max="2" width="4.125" style="1" customWidth="1"/>
    <col min="3" max="3" width="8.75390625" style="1" customWidth="1"/>
    <col min="4" max="5" width="10.875" style="1" customWidth="1"/>
    <col min="6" max="6" width="7.375" style="1" customWidth="1"/>
    <col min="7" max="7" width="7.75390625" style="1" customWidth="1"/>
    <col min="8" max="8" width="8.625" style="1" customWidth="1"/>
    <col min="9" max="10" width="5.625" style="1" customWidth="1"/>
    <col min="11" max="11" width="5.50390625" style="1" customWidth="1"/>
    <col min="12" max="12" width="5.625" style="1" customWidth="1"/>
    <col min="13" max="25" width="6.375" style="1" customWidth="1"/>
    <col min="26" max="16384" width="9.00390625" style="1" customWidth="1"/>
  </cols>
  <sheetData>
    <row r="1" spans="1:24" ht="24.75" customHeight="1" hidden="1" thickBot="1">
      <c r="A1" s="1654" t="s">
        <v>147</v>
      </c>
      <c r="B1" s="1655"/>
      <c r="C1" s="1655"/>
      <c r="D1" s="1655"/>
      <c r="E1" s="1655"/>
      <c r="F1" s="1655" t="s">
        <v>704</v>
      </c>
      <c r="G1" s="2"/>
      <c r="H1" s="2"/>
      <c r="I1" s="2"/>
      <c r="J1" s="2"/>
      <c r="K1" s="2"/>
      <c r="L1" s="2"/>
      <c r="M1" s="2"/>
      <c r="N1" s="3" t="s">
        <v>17</v>
      </c>
      <c r="O1" s="2"/>
      <c r="P1" s="2" t="s">
        <v>704</v>
      </c>
      <c r="Q1" s="2"/>
      <c r="R1" s="2"/>
      <c r="S1" s="2"/>
      <c r="T1" s="2"/>
      <c r="U1" s="2"/>
      <c r="V1" s="2"/>
      <c r="W1" s="2"/>
      <c r="X1" s="2"/>
    </row>
    <row r="2" spans="1:24" ht="0.75" customHeight="1" thickBot="1">
      <c r="A2" s="179"/>
      <c r="B2" s="180"/>
      <c r="C2" s="180"/>
      <c r="D2" s="180"/>
      <c r="E2" s="180"/>
      <c r="F2" s="180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18.75" customHeight="1">
      <c r="A3" s="1664" t="s">
        <v>698</v>
      </c>
      <c r="B3" s="1665"/>
      <c r="C3" s="1666"/>
      <c r="D3" s="1382" t="s">
        <v>148</v>
      </c>
      <c r="E3" s="1373"/>
      <c r="F3" s="1343" t="s">
        <v>149</v>
      </c>
      <c r="G3" s="1344"/>
      <c r="H3" s="1383" t="s">
        <v>150</v>
      </c>
      <c r="I3" s="1382" t="s">
        <v>699</v>
      </c>
      <c r="J3" s="1383"/>
      <c r="K3" s="1383"/>
      <c r="L3" s="1383"/>
      <c r="M3" s="1679"/>
      <c r="N3" s="1686" t="s">
        <v>700</v>
      </c>
      <c r="O3" s="1367"/>
      <c r="P3" s="1367"/>
      <c r="Q3" s="1367"/>
      <c r="R3" s="1367"/>
      <c r="S3" s="1367"/>
      <c r="T3" s="1367"/>
      <c r="U3" s="1367"/>
      <c r="V3" s="1367"/>
      <c r="W3" s="1367"/>
      <c r="X3" s="1367"/>
      <c r="Y3" s="1687"/>
    </row>
    <row r="4" spans="1:25" ht="24" customHeight="1">
      <c r="A4" s="1667"/>
      <c r="B4" s="1668"/>
      <c r="C4" s="1669"/>
      <c r="D4" s="1673"/>
      <c r="E4" s="1674"/>
      <c r="F4" s="1675"/>
      <c r="G4" s="1676"/>
      <c r="H4" s="1677"/>
      <c r="I4" s="1673"/>
      <c r="J4" s="1680"/>
      <c r="K4" s="1680"/>
      <c r="L4" s="1680"/>
      <c r="M4" s="1681"/>
      <c r="N4" s="1688" t="s">
        <v>151</v>
      </c>
      <c r="O4" s="1689"/>
      <c r="P4" s="1689"/>
      <c r="Q4" s="1690" t="s">
        <v>152</v>
      </c>
      <c r="R4" s="1690"/>
      <c r="S4" s="1690"/>
      <c r="T4" s="1690" t="s">
        <v>820</v>
      </c>
      <c r="U4" s="1690"/>
      <c r="V4" s="1690"/>
      <c r="W4" s="1690" t="s">
        <v>153</v>
      </c>
      <c r="X4" s="1690"/>
      <c r="Y4" s="1691"/>
    </row>
    <row r="5" spans="1:25" ht="18.75" customHeight="1">
      <c r="A5" s="1667"/>
      <c r="B5" s="1668"/>
      <c r="C5" s="1669"/>
      <c r="D5" s="1692" t="s">
        <v>154</v>
      </c>
      <c r="E5" s="1692" t="s">
        <v>155</v>
      </c>
      <c r="F5" s="1692" t="s">
        <v>156</v>
      </c>
      <c r="G5" s="1692" t="s">
        <v>157</v>
      </c>
      <c r="H5" s="1677"/>
      <c r="I5" s="1694" t="s">
        <v>158</v>
      </c>
      <c r="J5" s="1682" t="s">
        <v>159</v>
      </c>
      <c r="K5" s="1682"/>
      <c r="L5" s="1682" t="s">
        <v>160</v>
      </c>
      <c r="M5" s="1684" t="s">
        <v>161</v>
      </c>
      <c r="N5" s="1695" t="s">
        <v>159</v>
      </c>
      <c r="O5" s="1682"/>
      <c r="P5" s="1682" t="s">
        <v>160</v>
      </c>
      <c r="Q5" s="1682" t="s">
        <v>162</v>
      </c>
      <c r="R5" s="1682"/>
      <c r="S5" s="1682" t="s">
        <v>160</v>
      </c>
      <c r="T5" s="1682" t="s">
        <v>162</v>
      </c>
      <c r="U5" s="1682"/>
      <c r="V5" s="1682" t="s">
        <v>160</v>
      </c>
      <c r="W5" s="1682" t="s">
        <v>162</v>
      </c>
      <c r="X5" s="1682"/>
      <c r="Y5" s="1696" t="s">
        <v>160</v>
      </c>
    </row>
    <row r="6" spans="1:25" ht="26.25" customHeight="1" thickBot="1">
      <c r="A6" s="1670"/>
      <c r="B6" s="1671"/>
      <c r="C6" s="1672"/>
      <c r="D6" s="1693"/>
      <c r="E6" s="1693"/>
      <c r="F6" s="1693"/>
      <c r="G6" s="1693"/>
      <c r="H6" s="1678"/>
      <c r="I6" s="1289"/>
      <c r="J6" s="181" t="s">
        <v>163</v>
      </c>
      <c r="K6" s="181" t="s">
        <v>1</v>
      </c>
      <c r="L6" s="1683"/>
      <c r="M6" s="1685"/>
      <c r="N6" s="1188" t="s">
        <v>2</v>
      </c>
      <c r="O6" s="181" t="s">
        <v>1</v>
      </c>
      <c r="P6" s="1683"/>
      <c r="Q6" s="181" t="s">
        <v>2</v>
      </c>
      <c r="R6" s="181" t="s">
        <v>1</v>
      </c>
      <c r="S6" s="1683"/>
      <c r="T6" s="181" t="s">
        <v>2</v>
      </c>
      <c r="U6" s="181" t="s">
        <v>1</v>
      </c>
      <c r="V6" s="1683"/>
      <c r="W6" s="181" t="s">
        <v>2</v>
      </c>
      <c r="X6" s="181" t="s">
        <v>1</v>
      </c>
      <c r="Y6" s="1697"/>
    </row>
    <row r="7" spans="1:25" s="6" customFormat="1" ht="27" customHeight="1" thickBot="1">
      <c r="A7" s="1304" t="s">
        <v>31</v>
      </c>
      <c r="B7" s="1305"/>
      <c r="C7" s="1305"/>
      <c r="D7" s="669">
        <f>D13+D20+D30</f>
        <v>16</v>
      </c>
      <c r="E7" s="669">
        <f aca="true" t="shared" si="0" ref="E7:Y7">E13+E20+E30</f>
        <v>277</v>
      </c>
      <c r="F7" s="669">
        <f t="shared" si="0"/>
        <v>144</v>
      </c>
      <c r="G7" s="669">
        <f t="shared" si="0"/>
        <v>421</v>
      </c>
      <c r="H7" s="669">
        <f t="shared" si="0"/>
        <v>140</v>
      </c>
      <c r="I7" s="669">
        <f t="shared" si="0"/>
        <v>911</v>
      </c>
      <c r="J7" s="669">
        <f t="shared" si="0"/>
        <v>335</v>
      </c>
      <c r="K7" s="669">
        <f t="shared" si="0"/>
        <v>389</v>
      </c>
      <c r="L7" s="669">
        <f t="shared" si="0"/>
        <v>187</v>
      </c>
      <c r="M7" s="686">
        <f t="shared" si="0"/>
        <v>61</v>
      </c>
      <c r="N7" s="1189">
        <f t="shared" si="0"/>
        <v>41</v>
      </c>
      <c r="O7" s="669">
        <f t="shared" si="0"/>
        <v>209</v>
      </c>
      <c r="P7" s="669">
        <f t="shared" si="0"/>
        <v>38</v>
      </c>
      <c r="Q7" s="669">
        <f t="shared" si="0"/>
        <v>1</v>
      </c>
      <c r="R7" s="669">
        <f t="shared" si="0"/>
        <v>58</v>
      </c>
      <c r="S7" s="669">
        <f t="shared" si="0"/>
        <v>4</v>
      </c>
      <c r="T7" s="669">
        <f t="shared" si="0"/>
        <v>190</v>
      </c>
      <c r="U7" s="669">
        <f t="shared" si="0"/>
        <v>32</v>
      </c>
      <c r="V7" s="669">
        <f t="shared" si="0"/>
        <v>116</v>
      </c>
      <c r="W7" s="669">
        <f t="shared" si="0"/>
        <v>103</v>
      </c>
      <c r="X7" s="669">
        <f t="shared" si="0"/>
        <v>90</v>
      </c>
      <c r="Y7" s="686">
        <f t="shared" si="0"/>
        <v>29</v>
      </c>
    </row>
    <row r="8" spans="1:25" ht="27" customHeight="1">
      <c r="A8" s="1698" t="s">
        <v>144</v>
      </c>
      <c r="B8" s="1701" t="s">
        <v>18</v>
      </c>
      <c r="C8" s="1701"/>
      <c r="D8" s="687">
        <v>0</v>
      </c>
      <c r="E8" s="687">
        <v>16</v>
      </c>
      <c r="F8" s="687">
        <v>0</v>
      </c>
      <c r="G8" s="687">
        <v>0</v>
      </c>
      <c r="H8" s="672">
        <v>2</v>
      </c>
      <c r="I8" s="673">
        <f>SUM(J8:L8)</f>
        <v>63</v>
      </c>
      <c r="J8" s="676">
        <f>N8+Q8+T8+W8</f>
        <v>1</v>
      </c>
      <c r="K8" s="678">
        <f>O8+R8+U8+X8</f>
        <v>62</v>
      </c>
      <c r="L8" s="676">
        <f>P8+S8+V8+Y8</f>
        <v>0</v>
      </c>
      <c r="M8" s="1184">
        <v>12</v>
      </c>
      <c r="N8" s="1190">
        <v>1</v>
      </c>
      <c r="O8" s="687">
        <v>15</v>
      </c>
      <c r="P8" s="687"/>
      <c r="Q8" s="687"/>
      <c r="R8" s="685"/>
      <c r="S8" s="685"/>
      <c r="T8" s="685"/>
      <c r="U8" s="685">
        <v>15</v>
      </c>
      <c r="V8" s="685"/>
      <c r="W8" s="685"/>
      <c r="X8" s="685">
        <v>32</v>
      </c>
      <c r="Y8" s="688"/>
    </row>
    <row r="9" spans="1:25" ht="27" customHeight="1">
      <c r="A9" s="1699"/>
      <c r="B9" s="1287" t="s">
        <v>19</v>
      </c>
      <c r="C9" s="1287"/>
      <c r="D9" s="676">
        <v>1</v>
      </c>
      <c r="E9" s="676">
        <v>28</v>
      </c>
      <c r="F9" s="676"/>
      <c r="G9" s="676"/>
      <c r="H9" s="676"/>
      <c r="I9" s="673">
        <f>SUM(J9:L9)</f>
        <v>91</v>
      </c>
      <c r="J9" s="676">
        <f aca="true" t="shared" si="1" ref="J9:L30">N9+Q9+T9+W9</f>
        <v>46</v>
      </c>
      <c r="K9" s="678">
        <f t="shared" si="1"/>
        <v>11</v>
      </c>
      <c r="L9" s="676">
        <f t="shared" si="1"/>
        <v>34</v>
      </c>
      <c r="M9" s="1185">
        <v>2</v>
      </c>
      <c r="N9" s="1191">
        <v>7</v>
      </c>
      <c r="O9" s="676">
        <v>11</v>
      </c>
      <c r="P9" s="676">
        <v>11</v>
      </c>
      <c r="Q9" s="676"/>
      <c r="R9" s="673"/>
      <c r="S9" s="673"/>
      <c r="T9" s="673">
        <v>34</v>
      </c>
      <c r="U9" s="673"/>
      <c r="V9" s="673">
        <v>21</v>
      </c>
      <c r="W9" s="673">
        <v>5</v>
      </c>
      <c r="X9" s="673"/>
      <c r="Y9" s="689">
        <v>2</v>
      </c>
    </row>
    <row r="10" spans="1:25" ht="27" customHeight="1">
      <c r="A10" s="1699"/>
      <c r="B10" s="1636" t="s">
        <v>39</v>
      </c>
      <c r="C10" s="1636"/>
      <c r="D10" s="678">
        <v>0</v>
      </c>
      <c r="E10" s="678">
        <v>19</v>
      </c>
      <c r="F10" s="678">
        <v>1</v>
      </c>
      <c r="G10" s="678">
        <v>0</v>
      </c>
      <c r="H10" s="678">
        <v>1</v>
      </c>
      <c r="I10" s="673">
        <f>SUM(J10:L10)</f>
        <v>54</v>
      </c>
      <c r="J10" s="676">
        <f t="shared" si="1"/>
        <v>15</v>
      </c>
      <c r="K10" s="678">
        <f t="shared" si="1"/>
        <v>30</v>
      </c>
      <c r="L10" s="676">
        <f t="shared" si="1"/>
        <v>9</v>
      </c>
      <c r="M10" s="1186">
        <v>1</v>
      </c>
      <c r="N10" s="1192"/>
      <c r="O10" s="678">
        <v>19</v>
      </c>
      <c r="P10" s="678"/>
      <c r="Q10" s="678"/>
      <c r="R10" s="679"/>
      <c r="S10" s="679"/>
      <c r="T10" s="679">
        <v>12</v>
      </c>
      <c r="U10" s="679"/>
      <c r="V10" s="679">
        <v>6</v>
      </c>
      <c r="W10" s="679">
        <v>3</v>
      </c>
      <c r="X10" s="679">
        <v>11</v>
      </c>
      <c r="Y10" s="690">
        <v>3</v>
      </c>
    </row>
    <row r="11" spans="1:25" ht="27" customHeight="1">
      <c r="A11" s="1699"/>
      <c r="B11" s="1287" t="s">
        <v>21</v>
      </c>
      <c r="C11" s="1287"/>
      <c r="D11" s="676">
        <v>1</v>
      </c>
      <c r="E11" s="676">
        <v>22</v>
      </c>
      <c r="F11" s="676"/>
      <c r="G11" s="676"/>
      <c r="H11" s="676">
        <v>8</v>
      </c>
      <c r="I11" s="673">
        <f>SUM(J11:L11)</f>
        <v>85</v>
      </c>
      <c r="J11" s="676">
        <f t="shared" si="1"/>
        <v>50</v>
      </c>
      <c r="K11" s="678">
        <f t="shared" si="1"/>
        <v>3</v>
      </c>
      <c r="L11" s="676">
        <f t="shared" si="1"/>
        <v>32</v>
      </c>
      <c r="M11" s="1185">
        <v>4</v>
      </c>
      <c r="N11" s="1191">
        <v>14</v>
      </c>
      <c r="O11" s="676">
        <v>2</v>
      </c>
      <c r="P11" s="676">
        <v>7</v>
      </c>
      <c r="Q11" s="676">
        <v>1</v>
      </c>
      <c r="R11" s="673"/>
      <c r="S11" s="673">
        <v>1</v>
      </c>
      <c r="T11" s="673">
        <v>20</v>
      </c>
      <c r="U11" s="673">
        <v>0</v>
      </c>
      <c r="V11" s="673">
        <v>15</v>
      </c>
      <c r="W11" s="673">
        <v>15</v>
      </c>
      <c r="X11" s="673">
        <v>1</v>
      </c>
      <c r="Y11" s="689">
        <v>9</v>
      </c>
    </row>
    <row r="12" spans="1:25" ht="27" customHeight="1" thickBot="1">
      <c r="A12" s="1699"/>
      <c r="B12" s="1288" t="s">
        <v>40</v>
      </c>
      <c r="C12" s="1288"/>
      <c r="D12" s="1170">
        <v>1</v>
      </c>
      <c r="E12" s="1170">
        <v>3</v>
      </c>
      <c r="F12" s="1170">
        <v>0</v>
      </c>
      <c r="G12" s="1170"/>
      <c r="H12" s="1170"/>
      <c r="I12" s="1170">
        <f>SUM(J12:L12)</f>
        <v>5</v>
      </c>
      <c r="J12" s="1171">
        <f t="shared" si="1"/>
        <v>0</v>
      </c>
      <c r="K12" s="1171">
        <f t="shared" si="1"/>
        <v>0</v>
      </c>
      <c r="L12" s="1171">
        <f t="shared" si="1"/>
        <v>5</v>
      </c>
      <c r="M12" s="1176">
        <v>1</v>
      </c>
      <c r="N12" s="1182"/>
      <c r="O12" s="1170"/>
      <c r="P12" s="1170">
        <v>1</v>
      </c>
      <c r="Q12" s="1170"/>
      <c r="R12" s="1170"/>
      <c r="S12" s="1170"/>
      <c r="T12" s="1170"/>
      <c r="U12" s="1170"/>
      <c r="V12" s="1170">
        <v>4</v>
      </c>
      <c r="W12" s="1170"/>
      <c r="X12" s="1170"/>
      <c r="Y12" s="1176"/>
    </row>
    <row r="13" spans="1:25" ht="27" customHeight="1" thickBot="1" thickTop="1">
      <c r="A13" s="1700"/>
      <c r="B13" s="1289" t="s">
        <v>20</v>
      </c>
      <c r="C13" s="1289"/>
      <c r="D13" s="681">
        <f aca="true" t="shared" si="2" ref="D13:Y13">SUM(D8:D12)</f>
        <v>3</v>
      </c>
      <c r="E13" s="681">
        <f t="shared" si="2"/>
        <v>88</v>
      </c>
      <c r="F13" s="681">
        <f t="shared" si="2"/>
        <v>1</v>
      </c>
      <c r="G13" s="681">
        <f t="shared" si="2"/>
        <v>0</v>
      </c>
      <c r="H13" s="681">
        <f t="shared" si="2"/>
        <v>11</v>
      </c>
      <c r="I13" s="681">
        <f t="shared" si="2"/>
        <v>298</v>
      </c>
      <c r="J13" s="1195">
        <f t="shared" si="1"/>
        <v>112</v>
      </c>
      <c r="K13" s="1195">
        <f t="shared" si="1"/>
        <v>106</v>
      </c>
      <c r="L13" s="1195">
        <f t="shared" si="1"/>
        <v>80</v>
      </c>
      <c r="M13" s="691">
        <f t="shared" si="2"/>
        <v>20</v>
      </c>
      <c r="N13" s="1193">
        <f t="shared" si="2"/>
        <v>22</v>
      </c>
      <c r="O13" s="681">
        <f t="shared" si="2"/>
        <v>47</v>
      </c>
      <c r="P13" s="681">
        <f t="shared" si="2"/>
        <v>19</v>
      </c>
      <c r="Q13" s="681">
        <f t="shared" si="2"/>
        <v>1</v>
      </c>
      <c r="R13" s="681">
        <f t="shared" si="2"/>
        <v>0</v>
      </c>
      <c r="S13" s="681">
        <f t="shared" si="2"/>
        <v>1</v>
      </c>
      <c r="T13" s="681">
        <f t="shared" si="2"/>
        <v>66</v>
      </c>
      <c r="U13" s="681">
        <f t="shared" si="2"/>
        <v>15</v>
      </c>
      <c r="V13" s="681">
        <f t="shared" si="2"/>
        <v>46</v>
      </c>
      <c r="W13" s="681">
        <f t="shared" si="2"/>
        <v>23</v>
      </c>
      <c r="X13" s="681">
        <f t="shared" si="2"/>
        <v>44</v>
      </c>
      <c r="Y13" s="691">
        <f t="shared" si="2"/>
        <v>14</v>
      </c>
    </row>
    <row r="14" spans="1:25" ht="27" customHeight="1">
      <c r="A14" s="1702" t="s">
        <v>145</v>
      </c>
      <c r="B14" s="1701" t="s">
        <v>22</v>
      </c>
      <c r="C14" s="1701"/>
      <c r="D14" s="687">
        <v>0</v>
      </c>
      <c r="E14" s="687">
        <v>41</v>
      </c>
      <c r="F14" s="687"/>
      <c r="G14" s="687">
        <v>335</v>
      </c>
      <c r="H14" s="672"/>
      <c r="I14" s="673">
        <f aca="true" t="shared" si="3" ref="I14:I19">SUM(J14:L14)</f>
        <v>171</v>
      </c>
      <c r="J14" s="687">
        <f t="shared" si="1"/>
        <v>57</v>
      </c>
      <c r="K14" s="692">
        <f t="shared" si="1"/>
        <v>109</v>
      </c>
      <c r="L14" s="687">
        <f t="shared" si="1"/>
        <v>5</v>
      </c>
      <c r="M14" s="1184">
        <v>7</v>
      </c>
      <c r="N14" s="1190"/>
      <c r="O14" s="687">
        <v>41</v>
      </c>
      <c r="P14" s="687"/>
      <c r="Q14" s="687"/>
      <c r="R14" s="685">
        <v>42</v>
      </c>
      <c r="S14" s="685"/>
      <c r="T14" s="685">
        <v>41</v>
      </c>
      <c r="U14" s="685"/>
      <c r="V14" s="685"/>
      <c r="W14" s="685">
        <v>16</v>
      </c>
      <c r="X14" s="685">
        <v>26</v>
      </c>
      <c r="Y14" s="688">
        <v>5</v>
      </c>
    </row>
    <row r="15" spans="1:25" ht="27" customHeight="1">
      <c r="A15" s="1703"/>
      <c r="B15" s="1287" t="s">
        <v>23</v>
      </c>
      <c r="C15" s="1287"/>
      <c r="D15" s="676">
        <v>1</v>
      </c>
      <c r="E15" s="676">
        <v>6</v>
      </c>
      <c r="F15" s="676">
        <v>0</v>
      </c>
      <c r="G15" s="676">
        <v>4</v>
      </c>
      <c r="H15" s="676">
        <v>38</v>
      </c>
      <c r="I15" s="673">
        <f>SUM(J15:L15)</f>
        <v>16</v>
      </c>
      <c r="J15" s="676">
        <f>N15+Q15+T15+W15</f>
        <v>15</v>
      </c>
      <c r="K15" s="678">
        <f t="shared" si="1"/>
        <v>0</v>
      </c>
      <c r="L15" s="687">
        <f t="shared" si="1"/>
        <v>1</v>
      </c>
      <c r="M15" s="1185">
        <v>2</v>
      </c>
      <c r="N15" s="1191">
        <v>6</v>
      </c>
      <c r="O15" s="676"/>
      <c r="P15" s="676">
        <v>1</v>
      </c>
      <c r="Q15" s="676"/>
      <c r="R15" s="673"/>
      <c r="S15" s="673"/>
      <c r="T15" s="673">
        <v>9</v>
      </c>
      <c r="U15" s="673"/>
      <c r="V15" s="673"/>
      <c r="W15" s="673"/>
      <c r="X15" s="673"/>
      <c r="Y15" s="689"/>
    </row>
    <row r="16" spans="1:25" ht="27" customHeight="1">
      <c r="A16" s="1703"/>
      <c r="B16" s="1287" t="s">
        <v>41</v>
      </c>
      <c r="C16" s="1287"/>
      <c r="D16" s="676">
        <v>1</v>
      </c>
      <c r="E16" s="676">
        <v>1</v>
      </c>
      <c r="F16" s="676"/>
      <c r="G16" s="676"/>
      <c r="H16" s="676">
        <v>37</v>
      </c>
      <c r="I16" s="673">
        <f t="shared" si="3"/>
        <v>9</v>
      </c>
      <c r="J16" s="676">
        <f t="shared" si="1"/>
        <v>1</v>
      </c>
      <c r="K16" s="678">
        <f t="shared" si="1"/>
        <v>0</v>
      </c>
      <c r="L16" s="676">
        <f t="shared" si="1"/>
        <v>8</v>
      </c>
      <c r="M16" s="1185">
        <v>3</v>
      </c>
      <c r="N16" s="1191"/>
      <c r="O16" s="676"/>
      <c r="P16" s="676">
        <v>1</v>
      </c>
      <c r="Q16" s="676">
        <v>0</v>
      </c>
      <c r="R16" s="673"/>
      <c r="S16" s="673"/>
      <c r="T16" s="673">
        <v>1</v>
      </c>
      <c r="U16" s="673"/>
      <c r="V16" s="673">
        <v>7</v>
      </c>
      <c r="W16" s="673"/>
      <c r="X16" s="673"/>
      <c r="Y16" s="689"/>
    </row>
    <row r="17" spans="1:25" ht="27" customHeight="1">
      <c r="A17" s="1703"/>
      <c r="B17" s="1287" t="s">
        <v>42</v>
      </c>
      <c r="C17" s="1287"/>
      <c r="D17" s="673">
        <v>1</v>
      </c>
      <c r="E17" s="673">
        <v>4</v>
      </c>
      <c r="F17" s="673">
        <v>27</v>
      </c>
      <c r="G17" s="673"/>
      <c r="H17" s="673"/>
      <c r="I17" s="673">
        <f t="shared" si="3"/>
        <v>16</v>
      </c>
      <c r="J17" s="676">
        <f t="shared" si="1"/>
        <v>0</v>
      </c>
      <c r="K17" s="678">
        <f t="shared" si="1"/>
        <v>0</v>
      </c>
      <c r="L17" s="676">
        <f t="shared" si="1"/>
        <v>16</v>
      </c>
      <c r="M17" s="689">
        <v>1</v>
      </c>
      <c r="N17" s="1180"/>
      <c r="O17" s="673"/>
      <c r="P17" s="673">
        <v>5</v>
      </c>
      <c r="Q17" s="673"/>
      <c r="R17" s="673"/>
      <c r="S17" s="673"/>
      <c r="T17" s="673"/>
      <c r="U17" s="673"/>
      <c r="V17" s="673">
        <v>9</v>
      </c>
      <c r="W17" s="673"/>
      <c r="X17" s="673"/>
      <c r="Y17" s="689">
        <v>2</v>
      </c>
    </row>
    <row r="18" spans="1:25" ht="27" customHeight="1">
      <c r="A18" s="1703"/>
      <c r="B18" s="1287" t="s">
        <v>51</v>
      </c>
      <c r="C18" s="1287" t="s">
        <v>24</v>
      </c>
      <c r="D18" s="676">
        <v>1</v>
      </c>
      <c r="E18" s="676">
        <v>3</v>
      </c>
      <c r="F18" s="676">
        <v>0</v>
      </c>
      <c r="G18" s="676">
        <v>23</v>
      </c>
      <c r="H18" s="676"/>
      <c r="I18" s="673">
        <f t="shared" si="3"/>
        <v>11</v>
      </c>
      <c r="J18" s="676">
        <f t="shared" si="1"/>
        <v>5</v>
      </c>
      <c r="K18" s="678">
        <f t="shared" si="1"/>
        <v>1</v>
      </c>
      <c r="L18" s="676">
        <f t="shared" si="1"/>
        <v>5</v>
      </c>
      <c r="M18" s="1185">
        <v>2</v>
      </c>
      <c r="N18" s="1191">
        <v>2</v>
      </c>
      <c r="O18" s="676">
        <v>1</v>
      </c>
      <c r="P18" s="676">
        <v>1</v>
      </c>
      <c r="Q18" s="676"/>
      <c r="R18" s="673"/>
      <c r="S18" s="673">
        <v>1</v>
      </c>
      <c r="T18" s="673">
        <v>3</v>
      </c>
      <c r="U18" s="673"/>
      <c r="V18" s="673">
        <v>3</v>
      </c>
      <c r="W18" s="673"/>
      <c r="X18" s="673"/>
      <c r="Y18" s="689"/>
    </row>
    <row r="19" spans="1:25" ht="27" customHeight="1" thickBot="1">
      <c r="A19" s="1703"/>
      <c r="B19" s="1288" t="s">
        <v>52</v>
      </c>
      <c r="C19" s="1288" t="s">
        <v>24</v>
      </c>
      <c r="D19" s="1171">
        <v>1</v>
      </c>
      <c r="E19" s="1171">
        <v>3</v>
      </c>
      <c r="F19" s="1171">
        <v>0</v>
      </c>
      <c r="G19" s="1171">
        <v>59</v>
      </c>
      <c r="H19" s="1171">
        <v>0</v>
      </c>
      <c r="I19" s="1170">
        <f t="shared" si="3"/>
        <v>9</v>
      </c>
      <c r="J19" s="1171">
        <f t="shared" si="1"/>
        <v>5</v>
      </c>
      <c r="K19" s="1171">
        <f t="shared" si="1"/>
        <v>2</v>
      </c>
      <c r="L19" s="1171">
        <f t="shared" si="1"/>
        <v>2</v>
      </c>
      <c r="M19" s="1196">
        <v>3</v>
      </c>
      <c r="N19" s="1197">
        <v>0</v>
      </c>
      <c r="O19" s="1171">
        <v>2</v>
      </c>
      <c r="P19" s="1171">
        <v>1</v>
      </c>
      <c r="Q19" s="1171"/>
      <c r="R19" s="1170"/>
      <c r="S19" s="1170"/>
      <c r="T19" s="1170"/>
      <c r="U19" s="1170"/>
      <c r="V19" s="1170"/>
      <c r="W19" s="1170">
        <v>5</v>
      </c>
      <c r="X19" s="1170"/>
      <c r="Y19" s="1176">
        <v>1</v>
      </c>
    </row>
    <row r="20" spans="1:25" ht="27" customHeight="1" thickBot="1" thickTop="1">
      <c r="A20" s="1704"/>
      <c r="B20" s="1289" t="s">
        <v>20</v>
      </c>
      <c r="C20" s="1289"/>
      <c r="D20" s="681">
        <f aca="true" t="shared" si="4" ref="D20:Y20">SUM(D14:D19)</f>
        <v>5</v>
      </c>
      <c r="E20" s="681">
        <f t="shared" si="4"/>
        <v>58</v>
      </c>
      <c r="F20" s="681">
        <f t="shared" si="4"/>
        <v>27</v>
      </c>
      <c r="G20" s="681">
        <f t="shared" si="4"/>
        <v>421</v>
      </c>
      <c r="H20" s="681">
        <f t="shared" si="4"/>
        <v>75</v>
      </c>
      <c r="I20" s="681">
        <f t="shared" si="4"/>
        <v>232</v>
      </c>
      <c r="J20" s="1195">
        <f t="shared" si="1"/>
        <v>83</v>
      </c>
      <c r="K20" s="1195">
        <f t="shared" si="1"/>
        <v>112</v>
      </c>
      <c r="L20" s="1195">
        <f t="shared" si="1"/>
        <v>37</v>
      </c>
      <c r="M20" s="691">
        <f t="shared" si="4"/>
        <v>18</v>
      </c>
      <c r="N20" s="1193">
        <f t="shared" si="4"/>
        <v>8</v>
      </c>
      <c r="O20" s="681">
        <f t="shared" si="4"/>
        <v>44</v>
      </c>
      <c r="P20" s="681">
        <f t="shared" si="4"/>
        <v>9</v>
      </c>
      <c r="Q20" s="681">
        <f t="shared" si="4"/>
        <v>0</v>
      </c>
      <c r="R20" s="681">
        <f t="shared" si="4"/>
        <v>42</v>
      </c>
      <c r="S20" s="681">
        <f t="shared" si="4"/>
        <v>1</v>
      </c>
      <c r="T20" s="681">
        <f t="shared" si="4"/>
        <v>54</v>
      </c>
      <c r="U20" s="681">
        <f t="shared" si="4"/>
        <v>0</v>
      </c>
      <c r="V20" s="681">
        <f t="shared" si="4"/>
        <v>19</v>
      </c>
      <c r="W20" s="681">
        <f t="shared" si="4"/>
        <v>21</v>
      </c>
      <c r="X20" s="681">
        <f t="shared" si="4"/>
        <v>26</v>
      </c>
      <c r="Y20" s="691">
        <f t="shared" si="4"/>
        <v>8</v>
      </c>
    </row>
    <row r="21" spans="1:25" ht="27" customHeight="1">
      <c r="A21" s="1698" t="s">
        <v>146</v>
      </c>
      <c r="B21" s="1292" t="s">
        <v>25</v>
      </c>
      <c r="C21" s="1292"/>
      <c r="D21" s="672">
        <v>1</v>
      </c>
      <c r="E21" s="672">
        <v>17</v>
      </c>
      <c r="F21" s="672">
        <v>1</v>
      </c>
      <c r="G21" s="672">
        <v>0</v>
      </c>
      <c r="H21" s="672">
        <v>54</v>
      </c>
      <c r="I21" s="673">
        <f aca="true" t="shared" si="5" ref="I21:I30">SUM(J21:L21)</f>
        <v>56</v>
      </c>
      <c r="J21" s="687">
        <f t="shared" si="1"/>
        <v>0</v>
      </c>
      <c r="K21" s="692">
        <f t="shared" si="1"/>
        <v>53</v>
      </c>
      <c r="L21" s="687">
        <f t="shared" si="1"/>
        <v>3</v>
      </c>
      <c r="M21" s="1187">
        <v>2</v>
      </c>
      <c r="N21" s="1194"/>
      <c r="O21" s="672">
        <v>17</v>
      </c>
      <c r="P21" s="672">
        <v>1</v>
      </c>
      <c r="Q21" s="672"/>
      <c r="R21" s="674"/>
      <c r="S21" s="674"/>
      <c r="T21" s="674"/>
      <c r="U21" s="674">
        <v>17</v>
      </c>
      <c r="V21" s="674">
        <v>2</v>
      </c>
      <c r="W21" s="674"/>
      <c r="X21" s="674">
        <v>19</v>
      </c>
      <c r="Y21" s="693"/>
    </row>
    <row r="22" spans="1:25" ht="27" customHeight="1">
      <c r="A22" s="1699"/>
      <c r="B22" s="1287" t="s">
        <v>26</v>
      </c>
      <c r="C22" s="1287"/>
      <c r="D22" s="676">
        <v>1</v>
      </c>
      <c r="E22" s="676">
        <v>23</v>
      </c>
      <c r="F22" s="676">
        <v>19</v>
      </c>
      <c r="G22" s="676"/>
      <c r="H22" s="676"/>
      <c r="I22" s="673">
        <f t="shared" si="5"/>
        <v>75</v>
      </c>
      <c r="J22" s="676">
        <f t="shared" si="1"/>
        <v>24</v>
      </c>
      <c r="K22" s="678">
        <f t="shared" si="1"/>
        <v>24</v>
      </c>
      <c r="L22" s="676">
        <f t="shared" si="1"/>
        <v>27</v>
      </c>
      <c r="M22" s="1185">
        <v>5</v>
      </c>
      <c r="N22" s="1191"/>
      <c r="O22" s="676">
        <v>24</v>
      </c>
      <c r="P22" s="676"/>
      <c r="Q22" s="676"/>
      <c r="R22" s="673"/>
      <c r="S22" s="673"/>
      <c r="T22" s="673"/>
      <c r="U22" s="673"/>
      <c r="V22" s="673">
        <v>26</v>
      </c>
      <c r="W22" s="673">
        <v>24</v>
      </c>
      <c r="X22" s="673"/>
      <c r="Y22" s="689">
        <v>1</v>
      </c>
    </row>
    <row r="23" spans="1:25" ht="27" customHeight="1">
      <c r="A23" s="1699"/>
      <c r="B23" s="1287" t="s">
        <v>43</v>
      </c>
      <c r="C23" s="1287"/>
      <c r="D23" s="673">
        <v>1</v>
      </c>
      <c r="E23" s="673">
        <v>24</v>
      </c>
      <c r="F23" s="673">
        <v>19</v>
      </c>
      <c r="G23" s="673">
        <v>0</v>
      </c>
      <c r="H23" s="673">
        <v>0</v>
      </c>
      <c r="I23" s="673">
        <f t="shared" si="5"/>
        <v>81</v>
      </c>
      <c r="J23" s="676">
        <f t="shared" si="1"/>
        <v>34</v>
      </c>
      <c r="K23" s="678">
        <f t="shared" si="1"/>
        <v>23</v>
      </c>
      <c r="L23" s="676">
        <f t="shared" si="1"/>
        <v>24</v>
      </c>
      <c r="M23" s="689">
        <v>3</v>
      </c>
      <c r="N23" s="1180"/>
      <c r="O23" s="673">
        <v>22</v>
      </c>
      <c r="P23" s="673">
        <v>3</v>
      </c>
      <c r="Q23" s="673"/>
      <c r="R23" s="673"/>
      <c r="S23" s="673">
        <v>1</v>
      </c>
      <c r="T23" s="673">
        <v>16</v>
      </c>
      <c r="U23" s="673"/>
      <c r="V23" s="673">
        <v>14</v>
      </c>
      <c r="W23" s="673">
        <v>18</v>
      </c>
      <c r="X23" s="673">
        <v>1</v>
      </c>
      <c r="Y23" s="689">
        <v>6</v>
      </c>
    </row>
    <row r="24" spans="1:25" ht="27" customHeight="1">
      <c r="A24" s="1699"/>
      <c r="B24" s="1287" t="s">
        <v>44</v>
      </c>
      <c r="C24" s="1287"/>
      <c r="D24" s="676">
        <v>0</v>
      </c>
      <c r="E24" s="676">
        <v>5</v>
      </c>
      <c r="F24" s="676">
        <v>41</v>
      </c>
      <c r="G24" s="676">
        <v>0</v>
      </c>
      <c r="H24" s="676">
        <v>0</v>
      </c>
      <c r="I24" s="673">
        <f t="shared" si="5"/>
        <v>17</v>
      </c>
      <c r="J24" s="676">
        <f t="shared" si="1"/>
        <v>17</v>
      </c>
      <c r="K24" s="678">
        <f t="shared" si="1"/>
        <v>0</v>
      </c>
      <c r="L24" s="676">
        <f t="shared" si="1"/>
        <v>0</v>
      </c>
      <c r="M24" s="1185">
        <v>1</v>
      </c>
      <c r="N24" s="1191">
        <v>5</v>
      </c>
      <c r="O24" s="676">
        <v>0</v>
      </c>
      <c r="P24" s="676">
        <v>0</v>
      </c>
      <c r="Q24" s="676"/>
      <c r="R24" s="673"/>
      <c r="S24" s="673"/>
      <c r="T24" s="673">
        <v>7</v>
      </c>
      <c r="U24" s="673"/>
      <c r="V24" s="673"/>
      <c r="W24" s="673">
        <v>5</v>
      </c>
      <c r="X24" s="673"/>
      <c r="Y24" s="689"/>
    </row>
    <row r="25" spans="1:25" ht="27" customHeight="1">
      <c r="A25" s="1699"/>
      <c r="B25" s="1287" t="s">
        <v>53</v>
      </c>
      <c r="C25" s="1287"/>
      <c r="D25" s="676">
        <v>1</v>
      </c>
      <c r="E25" s="676">
        <v>3</v>
      </c>
      <c r="F25" s="676">
        <v>3</v>
      </c>
      <c r="G25" s="678"/>
      <c r="H25" s="678"/>
      <c r="I25" s="673">
        <f t="shared" si="5"/>
        <v>9</v>
      </c>
      <c r="J25" s="676">
        <f t="shared" si="1"/>
        <v>9</v>
      </c>
      <c r="K25" s="678">
        <f t="shared" si="1"/>
        <v>0</v>
      </c>
      <c r="L25" s="676">
        <f t="shared" si="1"/>
        <v>0</v>
      </c>
      <c r="M25" s="1186">
        <v>1</v>
      </c>
      <c r="N25" s="1192">
        <v>4</v>
      </c>
      <c r="O25" s="678"/>
      <c r="P25" s="678"/>
      <c r="Q25" s="678">
        <v>0</v>
      </c>
      <c r="R25" s="679"/>
      <c r="S25" s="679"/>
      <c r="T25" s="679">
        <v>3</v>
      </c>
      <c r="U25" s="679"/>
      <c r="V25" s="679"/>
      <c r="W25" s="679">
        <v>2</v>
      </c>
      <c r="X25" s="679"/>
      <c r="Y25" s="690"/>
    </row>
    <row r="26" spans="1:25" ht="27" customHeight="1">
      <c r="A26" s="1699"/>
      <c r="B26" s="1701" t="s">
        <v>27</v>
      </c>
      <c r="C26" s="1701"/>
      <c r="D26" s="687">
        <v>1</v>
      </c>
      <c r="E26" s="687">
        <v>30</v>
      </c>
      <c r="F26" s="687">
        <v>2</v>
      </c>
      <c r="G26" s="676"/>
      <c r="H26" s="676"/>
      <c r="I26" s="673">
        <f t="shared" si="5"/>
        <v>84</v>
      </c>
      <c r="J26" s="676">
        <f t="shared" si="1"/>
        <v>37</v>
      </c>
      <c r="K26" s="678">
        <f t="shared" si="1"/>
        <v>46</v>
      </c>
      <c r="L26" s="676">
        <f t="shared" si="1"/>
        <v>1</v>
      </c>
      <c r="M26" s="1185">
        <v>8</v>
      </c>
      <c r="N26" s="1191"/>
      <c r="O26" s="676">
        <v>30</v>
      </c>
      <c r="P26" s="676">
        <v>1</v>
      </c>
      <c r="Q26" s="676"/>
      <c r="R26" s="673">
        <v>16</v>
      </c>
      <c r="S26" s="673"/>
      <c r="T26" s="673">
        <v>30</v>
      </c>
      <c r="U26" s="673"/>
      <c r="V26" s="673"/>
      <c r="W26" s="673">
        <v>7</v>
      </c>
      <c r="X26" s="673"/>
      <c r="Y26" s="689"/>
    </row>
    <row r="27" spans="1:25" ht="27" customHeight="1">
      <c r="A27" s="1699"/>
      <c r="B27" s="1287" t="s">
        <v>54</v>
      </c>
      <c r="C27" s="1287"/>
      <c r="D27" s="673">
        <v>1</v>
      </c>
      <c r="E27" s="673">
        <v>3</v>
      </c>
      <c r="F27" s="673">
        <v>10</v>
      </c>
      <c r="G27" s="673">
        <v>0</v>
      </c>
      <c r="H27" s="673"/>
      <c r="I27" s="673">
        <f t="shared" si="5"/>
        <v>6</v>
      </c>
      <c r="J27" s="676">
        <f t="shared" si="1"/>
        <v>1</v>
      </c>
      <c r="K27" s="678">
        <f t="shared" si="1"/>
        <v>4</v>
      </c>
      <c r="L27" s="676">
        <f t="shared" si="1"/>
        <v>1</v>
      </c>
      <c r="M27" s="689">
        <v>0</v>
      </c>
      <c r="N27" s="1180"/>
      <c r="O27" s="673">
        <v>4</v>
      </c>
      <c r="P27" s="673"/>
      <c r="Q27" s="673"/>
      <c r="R27" s="673"/>
      <c r="S27" s="673"/>
      <c r="T27" s="673">
        <v>1</v>
      </c>
      <c r="U27" s="673"/>
      <c r="V27" s="673">
        <v>1</v>
      </c>
      <c r="W27" s="673"/>
      <c r="X27" s="673"/>
      <c r="Y27" s="689"/>
    </row>
    <row r="28" spans="1:25" ht="27" customHeight="1">
      <c r="A28" s="1699"/>
      <c r="B28" s="1287" t="s">
        <v>45</v>
      </c>
      <c r="C28" s="1287"/>
      <c r="D28" s="676">
        <v>1</v>
      </c>
      <c r="E28" s="676">
        <v>6</v>
      </c>
      <c r="F28" s="676">
        <v>5</v>
      </c>
      <c r="G28" s="676">
        <v>0</v>
      </c>
      <c r="H28" s="676">
        <v>0</v>
      </c>
      <c r="I28" s="673">
        <f t="shared" si="5"/>
        <v>17</v>
      </c>
      <c r="J28" s="676">
        <f t="shared" si="1"/>
        <v>9</v>
      </c>
      <c r="K28" s="678">
        <f t="shared" si="1"/>
        <v>6</v>
      </c>
      <c r="L28" s="676">
        <f t="shared" si="1"/>
        <v>2</v>
      </c>
      <c r="M28" s="1185">
        <v>3</v>
      </c>
      <c r="N28" s="1191"/>
      <c r="O28" s="676">
        <v>6</v>
      </c>
      <c r="P28" s="676">
        <v>1</v>
      </c>
      <c r="Q28" s="676"/>
      <c r="R28" s="673"/>
      <c r="S28" s="673"/>
      <c r="T28" s="673">
        <v>6</v>
      </c>
      <c r="U28" s="673"/>
      <c r="V28" s="673">
        <v>1</v>
      </c>
      <c r="W28" s="673">
        <v>3</v>
      </c>
      <c r="X28" s="673"/>
      <c r="Y28" s="689"/>
    </row>
    <row r="29" spans="1:25" ht="27" customHeight="1" thickBot="1">
      <c r="A29" s="1699"/>
      <c r="B29" s="1288" t="s">
        <v>46</v>
      </c>
      <c r="C29" s="1288"/>
      <c r="D29" s="1171">
        <v>1</v>
      </c>
      <c r="E29" s="1171">
        <v>20</v>
      </c>
      <c r="F29" s="1171">
        <v>16</v>
      </c>
      <c r="G29" s="1171">
        <v>0</v>
      </c>
      <c r="H29" s="1171">
        <v>0</v>
      </c>
      <c r="I29" s="1170">
        <f t="shared" si="5"/>
        <v>36</v>
      </c>
      <c r="J29" s="1171">
        <f t="shared" si="1"/>
        <v>9</v>
      </c>
      <c r="K29" s="1171">
        <f t="shared" si="1"/>
        <v>15</v>
      </c>
      <c r="L29" s="1171">
        <f>P29+S29+V29+Y29</f>
        <v>12</v>
      </c>
      <c r="M29" s="1196">
        <v>0</v>
      </c>
      <c r="N29" s="1197">
        <v>2</v>
      </c>
      <c r="O29" s="1171">
        <v>15</v>
      </c>
      <c r="P29" s="1171">
        <v>4</v>
      </c>
      <c r="Q29" s="1171"/>
      <c r="R29" s="1170"/>
      <c r="S29" s="1170">
        <v>1</v>
      </c>
      <c r="T29" s="1170">
        <v>7</v>
      </c>
      <c r="U29" s="1170"/>
      <c r="V29" s="1170">
        <v>7</v>
      </c>
      <c r="W29" s="1170"/>
      <c r="X29" s="1170"/>
      <c r="Y29" s="689"/>
    </row>
    <row r="30" spans="1:25" ht="27" customHeight="1" thickBot="1" thickTop="1">
      <c r="A30" s="1700"/>
      <c r="B30" s="1289" t="s">
        <v>20</v>
      </c>
      <c r="C30" s="1289"/>
      <c r="D30" s="681">
        <f aca="true" t="shared" si="6" ref="D30:Y30">SUM(D21:D29)</f>
        <v>8</v>
      </c>
      <c r="E30" s="681">
        <f t="shared" si="6"/>
        <v>131</v>
      </c>
      <c r="F30" s="681">
        <f t="shared" si="6"/>
        <v>116</v>
      </c>
      <c r="G30" s="681">
        <f t="shared" si="6"/>
        <v>0</v>
      </c>
      <c r="H30" s="681">
        <f t="shared" si="6"/>
        <v>54</v>
      </c>
      <c r="I30" s="681">
        <f t="shared" si="5"/>
        <v>381</v>
      </c>
      <c r="J30" s="1195">
        <f t="shared" si="1"/>
        <v>140</v>
      </c>
      <c r="K30" s="1195">
        <f t="shared" si="1"/>
        <v>171</v>
      </c>
      <c r="L30" s="1195">
        <f t="shared" si="1"/>
        <v>70</v>
      </c>
      <c r="M30" s="691">
        <f>SUM(M21:M29)</f>
        <v>23</v>
      </c>
      <c r="N30" s="1193">
        <f t="shared" si="6"/>
        <v>11</v>
      </c>
      <c r="O30" s="681">
        <f t="shared" si="6"/>
        <v>118</v>
      </c>
      <c r="P30" s="681">
        <f t="shared" si="6"/>
        <v>10</v>
      </c>
      <c r="Q30" s="681">
        <f t="shared" si="6"/>
        <v>0</v>
      </c>
      <c r="R30" s="681">
        <f t="shared" si="6"/>
        <v>16</v>
      </c>
      <c r="S30" s="681">
        <f t="shared" si="6"/>
        <v>2</v>
      </c>
      <c r="T30" s="681">
        <f t="shared" si="6"/>
        <v>70</v>
      </c>
      <c r="U30" s="681">
        <f t="shared" si="6"/>
        <v>17</v>
      </c>
      <c r="V30" s="681">
        <f t="shared" si="6"/>
        <v>51</v>
      </c>
      <c r="W30" s="681">
        <f t="shared" si="6"/>
        <v>59</v>
      </c>
      <c r="X30" s="681">
        <f t="shared" si="6"/>
        <v>20</v>
      </c>
      <c r="Y30" s="691">
        <f t="shared" si="6"/>
        <v>7</v>
      </c>
    </row>
    <row r="31" spans="2:24" ht="12.75" customHeight="1">
      <c r="B31" s="50"/>
      <c r="D31" s="54"/>
      <c r="E31" s="147"/>
      <c r="F31" s="147"/>
      <c r="G31" s="147"/>
      <c r="H31" s="147"/>
      <c r="I31" s="182"/>
      <c r="J31" s="182"/>
      <c r="K31" s="182"/>
      <c r="L31" s="182"/>
      <c r="M31" s="182"/>
      <c r="N31" s="4"/>
      <c r="O31" s="4"/>
      <c r="P31" s="4"/>
      <c r="Q31" s="4"/>
      <c r="R31" s="4"/>
      <c r="S31" s="4"/>
      <c r="T31" s="4"/>
      <c r="U31" s="4"/>
      <c r="V31" s="4"/>
      <c r="W31" s="4"/>
      <c r="X31" s="2"/>
    </row>
    <row r="41" ht="12.75" customHeight="1">
      <c r="G41" s="51"/>
    </row>
  </sheetData>
  <sheetProtection/>
  <mergeCells count="54">
    <mergeCell ref="B30:C30"/>
    <mergeCell ref="A21:A3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14:A20"/>
    <mergeCell ref="B14:C14"/>
    <mergeCell ref="B15:C15"/>
    <mergeCell ref="B16:C16"/>
    <mergeCell ref="B17:C17"/>
    <mergeCell ref="B18:C18"/>
    <mergeCell ref="B19:C19"/>
    <mergeCell ref="B20:C20"/>
    <mergeCell ref="W5:X5"/>
    <mergeCell ref="Y5:Y6"/>
    <mergeCell ref="A7:C7"/>
    <mergeCell ref="A8:A13"/>
    <mergeCell ref="B8:C8"/>
    <mergeCell ref="B9:C9"/>
    <mergeCell ref="B10:C10"/>
    <mergeCell ref="B11:C11"/>
    <mergeCell ref="B12:C12"/>
    <mergeCell ref="B13:C13"/>
    <mergeCell ref="N5:O5"/>
    <mergeCell ref="P5:P6"/>
    <mergeCell ref="Q5:R5"/>
    <mergeCell ref="S5:S6"/>
    <mergeCell ref="T5:U5"/>
    <mergeCell ref="V5:V6"/>
    <mergeCell ref="N3:Y3"/>
    <mergeCell ref="N4:P4"/>
    <mergeCell ref="Q4:S4"/>
    <mergeCell ref="T4:V4"/>
    <mergeCell ref="W4:Y4"/>
    <mergeCell ref="D5:D6"/>
    <mergeCell ref="E5:E6"/>
    <mergeCell ref="F5:F6"/>
    <mergeCell ref="G5:G6"/>
    <mergeCell ref="I5:I6"/>
    <mergeCell ref="A1:F1"/>
    <mergeCell ref="A3:C6"/>
    <mergeCell ref="D3:E4"/>
    <mergeCell ref="F3:G4"/>
    <mergeCell ref="H3:H6"/>
    <mergeCell ref="I3:M4"/>
    <mergeCell ref="J5:K5"/>
    <mergeCell ref="L5:L6"/>
    <mergeCell ref="M5:M6"/>
  </mergeCells>
  <printOptions/>
  <pageMargins left="0.7086614173228347" right="0.1968503937007874" top="1.062992125984252" bottom="0.1968503937007874" header="0.7874015748031497" footer="0.3937007874015748"/>
  <pageSetup firstPageNumber="14" useFirstPageNumber="1" horizontalDpi="600" verticalDpi="600" orientation="portrait" paperSize="9" r:id="rId1"/>
  <headerFooter scaleWithDoc="0" alignWithMargins="0">
    <oddHeader>&amp;L&amp;"ＭＳ Ｐゴシック,太字"６　公民館施設・体制</oddHeader>
    <oddFooter>&amp;C&amp;12&amp;P</oddFooter>
  </headerFooter>
  <colBreaks count="1" manualBreakCount="1">
    <brk id="13" min="2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P50"/>
  <sheetViews>
    <sheetView view="pageBreakPreview" zoomScaleSheetLayoutView="100" zoomScalePageLayoutView="0" workbookViewId="0" topLeftCell="A1">
      <selection activeCell="N6" sqref="N6"/>
    </sheetView>
  </sheetViews>
  <sheetFormatPr defaultColWidth="9.00390625" defaultRowHeight="12.75" customHeight="1"/>
  <cols>
    <col min="1" max="1" width="3.50390625" style="52" customWidth="1"/>
    <col min="2" max="2" width="4.125" style="52" customWidth="1"/>
    <col min="3" max="3" width="7.25390625" style="52" customWidth="1"/>
    <col min="4" max="4" width="6.625" style="52" bestFit="1" customWidth="1"/>
    <col min="5" max="6" width="9.125" style="52" bestFit="1" customWidth="1"/>
    <col min="7" max="7" width="6.50390625" style="52" bestFit="1" customWidth="1"/>
    <col min="8" max="8" width="7.75390625" style="52" bestFit="1" customWidth="1"/>
    <col min="9" max="9" width="7.00390625" style="52" bestFit="1" customWidth="1"/>
    <col min="10" max="10" width="6.875" style="52" bestFit="1" customWidth="1"/>
    <col min="11" max="11" width="3.625" style="52" customWidth="1"/>
    <col min="12" max="12" width="5.625" style="52" customWidth="1"/>
    <col min="13" max="13" width="3.625" style="52" customWidth="1"/>
    <col min="14" max="14" width="4.625" style="52" bestFit="1" customWidth="1"/>
    <col min="15" max="15" width="3.625" style="52" customWidth="1"/>
    <col min="16" max="16" width="6.00390625" style="52" bestFit="1" customWidth="1"/>
    <col min="17" max="17" width="3.625" style="52" customWidth="1"/>
    <col min="18" max="18" width="6.00390625" style="52" bestFit="1" customWidth="1"/>
    <col min="19" max="19" width="3.625" style="52" customWidth="1"/>
    <col min="20" max="20" width="6.00390625" style="52" bestFit="1" customWidth="1"/>
    <col min="21" max="21" width="3.625" style="52" customWidth="1"/>
    <col min="22" max="22" width="4.625" style="52" bestFit="1" customWidth="1"/>
    <col min="23" max="23" width="3.625" style="52" customWidth="1"/>
    <col min="24" max="24" width="4.625" style="52" bestFit="1" customWidth="1"/>
    <col min="25" max="25" width="3.625" style="52" customWidth="1"/>
    <col min="26" max="26" width="6.00390625" style="52" bestFit="1" customWidth="1"/>
    <col min="27" max="27" width="3.50390625" style="52" customWidth="1"/>
    <col min="28" max="28" width="13.50390625" style="52" customWidth="1"/>
    <col min="29" max="29" width="2.625" style="52" customWidth="1"/>
    <col min="30" max="30" width="10.00390625" style="52" customWidth="1"/>
    <col min="31" max="31" width="2.125" style="52" customWidth="1"/>
    <col min="32" max="32" width="9.625" style="52" customWidth="1"/>
    <col min="33" max="33" width="2.625" style="52" customWidth="1"/>
    <col min="34" max="34" width="9.875" style="52" customWidth="1"/>
    <col min="35" max="35" width="2.625" style="52" customWidth="1"/>
    <col min="36" max="36" width="9.875" style="52" customWidth="1"/>
    <col min="37" max="37" width="2.625" style="52" customWidth="1"/>
    <col min="38" max="38" width="9.375" style="52" customWidth="1"/>
    <col min="39" max="39" width="2.625" style="52" customWidth="1"/>
    <col min="40" max="40" width="11.50390625" style="52" customWidth="1"/>
    <col min="41" max="41" width="2.625" style="52" customWidth="1"/>
    <col min="42" max="42" width="11.125" style="52" customWidth="1"/>
    <col min="43" max="16384" width="9.00390625" style="52" customWidth="1"/>
  </cols>
  <sheetData>
    <row r="1" spans="1:42" ht="24.75" customHeight="1">
      <c r="A1" s="1705" t="s">
        <v>164</v>
      </c>
      <c r="B1" s="1706"/>
      <c r="C1" s="1706"/>
      <c r="D1" s="1709" t="s">
        <v>165</v>
      </c>
      <c r="E1" s="1709" t="s">
        <v>881</v>
      </c>
      <c r="F1" s="1366" t="s">
        <v>166</v>
      </c>
      <c r="G1" s="1368"/>
      <c r="H1" s="1711" t="s">
        <v>167</v>
      </c>
      <c r="I1" s="1712"/>
      <c r="J1" s="1712"/>
      <c r="K1" s="1712"/>
      <c r="L1" s="1712"/>
      <c r="M1" s="1712"/>
      <c r="N1" s="1712"/>
      <c r="O1" s="1712"/>
      <c r="P1" s="1712"/>
      <c r="Q1" s="1712"/>
      <c r="R1" s="1712"/>
      <c r="S1" s="1712"/>
      <c r="T1" s="1712"/>
      <c r="U1" s="1712"/>
      <c r="V1" s="1712"/>
      <c r="W1" s="1712"/>
      <c r="X1" s="1712"/>
      <c r="Y1" s="1712"/>
      <c r="Z1" s="1712"/>
      <c r="AA1" s="1713"/>
      <c r="AB1" s="1686" t="s">
        <v>168</v>
      </c>
      <c r="AC1" s="1367"/>
      <c r="AD1" s="1367"/>
      <c r="AE1" s="1367"/>
      <c r="AF1" s="1367"/>
      <c r="AG1" s="1367"/>
      <c r="AH1" s="1367"/>
      <c r="AI1" s="1367"/>
      <c r="AJ1" s="1367"/>
      <c r="AK1" s="1367"/>
      <c r="AL1" s="1367"/>
      <c r="AM1" s="1367"/>
      <c r="AN1" s="1367"/>
      <c r="AO1" s="1368"/>
      <c r="AP1" s="1720" t="s">
        <v>169</v>
      </c>
    </row>
    <row r="2" spans="1:42" ht="36" customHeight="1" thickBot="1">
      <c r="A2" s="1707"/>
      <c r="B2" s="1708"/>
      <c r="C2" s="1708"/>
      <c r="D2" s="1710"/>
      <c r="E2" s="1710"/>
      <c r="F2" s="43" t="s">
        <v>170</v>
      </c>
      <c r="G2" s="43" t="s">
        <v>171</v>
      </c>
      <c r="H2" s="43" t="s">
        <v>172</v>
      </c>
      <c r="I2" s="53" t="s">
        <v>173</v>
      </c>
      <c r="J2" s="1722" t="s">
        <v>174</v>
      </c>
      <c r="K2" s="1723"/>
      <c r="L2" s="1716" t="s">
        <v>175</v>
      </c>
      <c r="M2" s="1717"/>
      <c r="N2" s="1724" t="s">
        <v>176</v>
      </c>
      <c r="O2" s="1725"/>
      <c r="P2" s="1716" t="s">
        <v>177</v>
      </c>
      <c r="Q2" s="1717"/>
      <c r="R2" s="1716" t="s">
        <v>178</v>
      </c>
      <c r="S2" s="1717"/>
      <c r="T2" s="1714" t="s">
        <v>773</v>
      </c>
      <c r="U2" s="1715"/>
      <c r="V2" s="1716" t="s">
        <v>774</v>
      </c>
      <c r="W2" s="1717"/>
      <c r="X2" s="1718" t="s">
        <v>775</v>
      </c>
      <c r="Y2" s="1719"/>
      <c r="Z2" s="1653" t="s">
        <v>55</v>
      </c>
      <c r="AA2" s="1726"/>
      <c r="AB2" s="1727" t="s">
        <v>174</v>
      </c>
      <c r="AC2" s="1723"/>
      <c r="AD2" s="1728" t="s">
        <v>179</v>
      </c>
      <c r="AE2" s="1374"/>
      <c r="AF2" s="1728" t="s">
        <v>180</v>
      </c>
      <c r="AG2" s="1374"/>
      <c r="AH2" s="1728" t="s">
        <v>181</v>
      </c>
      <c r="AI2" s="1374"/>
      <c r="AJ2" s="1728" t="s">
        <v>182</v>
      </c>
      <c r="AK2" s="1374"/>
      <c r="AL2" s="1728" t="s">
        <v>183</v>
      </c>
      <c r="AM2" s="1374"/>
      <c r="AN2" s="1729" t="s">
        <v>184</v>
      </c>
      <c r="AO2" s="1730"/>
      <c r="AP2" s="1721"/>
    </row>
    <row r="3" spans="1:42" s="202" customFormat="1" ht="26.25" customHeight="1">
      <c r="A3" s="1342" t="s">
        <v>31</v>
      </c>
      <c r="B3" s="1343"/>
      <c r="C3" s="1344"/>
      <c r="D3" s="1733">
        <f>SUM(,D15,D29,,D49)</f>
        <v>294</v>
      </c>
      <c r="E3" s="1733">
        <f>E15+E29+E49</f>
        <v>1366771</v>
      </c>
      <c r="F3" s="1733">
        <f>SUM(,F15,F29,,F49)</f>
        <v>3509737</v>
      </c>
      <c r="G3" s="1735">
        <f>F3/E3</f>
        <v>2.5679042063374187</v>
      </c>
      <c r="H3" s="1733">
        <f>SUM(,H15,H29,,H49)</f>
        <v>847364</v>
      </c>
      <c r="I3" s="1737">
        <f>H3/E3*100</f>
        <v>61.9975109217272</v>
      </c>
      <c r="J3" s="857">
        <f>SUM(J15,J29,J49)</f>
        <v>5147</v>
      </c>
      <c r="K3" s="858" t="s">
        <v>185</v>
      </c>
      <c r="L3" s="859">
        <f>SUM(L15,L29,L49)</f>
        <v>356</v>
      </c>
      <c r="M3" s="858" t="s">
        <v>185</v>
      </c>
      <c r="N3" s="859">
        <f>SUM(N15,N29,N49)</f>
        <v>224</v>
      </c>
      <c r="O3" s="860" t="s">
        <v>185</v>
      </c>
      <c r="P3" s="861">
        <f>SUM(P15,P29,P49)</f>
        <v>793</v>
      </c>
      <c r="Q3" s="860" t="s">
        <v>185</v>
      </c>
      <c r="R3" s="861">
        <f>SUM(R15,R29,R49)</f>
        <v>427</v>
      </c>
      <c r="S3" s="860" t="s">
        <v>185</v>
      </c>
      <c r="T3" s="861">
        <f>SUM(T15,T29,T49)</f>
        <v>727</v>
      </c>
      <c r="U3" s="860" t="s">
        <v>185</v>
      </c>
      <c r="V3" s="861">
        <f>SUM(V15,V29,V49)</f>
        <v>97</v>
      </c>
      <c r="W3" s="860" t="s">
        <v>185</v>
      </c>
      <c r="X3" s="861">
        <f>SUM(X15,X29,X49)</f>
        <v>355</v>
      </c>
      <c r="Y3" s="860" t="s">
        <v>185</v>
      </c>
      <c r="Z3" s="861">
        <f>SUM(Z15,Z29,Z49)</f>
        <v>2168</v>
      </c>
      <c r="AA3" s="1201" t="s">
        <v>185</v>
      </c>
      <c r="AB3" s="1207">
        <f>SUM(AB15,AB29,AB49)</f>
        <v>115729</v>
      </c>
      <c r="AC3" s="858" t="s">
        <v>186</v>
      </c>
      <c r="AD3" s="859">
        <f>SUM(AD15,AD29,AD49)</f>
        <v>9751</v>
      </c>
      <c r="AE3" s="858" t="s">
        <v>186</v>
      </c>
      <c r="AF3" s="859">
        <f>SUM(AF15,AF29,AF49)</f>
        <v>1354</v>
      </c>
      <c r="AG3" s="858" t="s">
        <v>186</v>
      </c>
      <c r="AH3" s="859">
        <f>SUM(AH15,AH29,AH49)</f>
        <v>18581</v>
      </c>
      <c r="AI3" s="860" t="s">
        <v>186</v>
      </c>
      <c r="AJ3" s="861">
        <f>SUM(AJ15,AJ29,AJ49)</f>
        <v>30322</v>
      </c>
      <c r="AK3" s="860" t="s">
        <v>186</v>
      </c>
      <c r="AL3" s="861">
        <f>SUM(AL15,AL29,AL49)</f>
        <v>17307</v>
      </c>
      <c r="AM3" s="860" t="s">
        <v>186</v>
      </c>
      <c r="AN3" s="861">
        <f>SUM(AN15,AN29,AN49)</f>
        <v>38414</v>
      </c>
      <c r="AO3" s="860" t="s">
        <v>186</v>
      </c>
      <c r="AP3" s="1739">
        <f>SUM(,AP15,AP29,,AP49)</f>
        <v>2414</v>
      </c>
    </row>
    <row r="4" spans="1:42" s="202" customFormat="1" ht="26.25" customHeight="1" thickBot="1">
      <c r="A4" s="1731"/>
      <c r="B4" s="1732"/>
      <c r="C4" s="1374"/>
      <c r="D4" s="1734"/>
      <c r="E4" s="1734"/>
      <c r="F4" s="1734"/>
      <c r="G4" s="1736"/>
      <c r="H4" s="1734"/>
      <c r="I4" s="1738"/>
      <c r="J4" s="862">
        <f>SUM(J16,J30,J50)</f>
        <v>19886</v>
      </c>
      <c r="K4" s="863" t="s">
        <v>187</v>
      </c>
      <c r="L4" s="864">
        <f>SUM(L16,L30,L50)</f>
        <v>1922</v>
      </c>
      <c r="M4" s="863" t="s">
        <v>187</v>
      </c>
      <c r="N4" s="864">
        <f>SUM(N16,N30,N50)</f>
        <v>818</v>
      </c>
      <c r="O4" s="865" t="s">
        <v>187</v>
      </c>
      <c r="P4" s="866">
        <f>SUM(P16,P30,P50)</f>
        <v>2533</v>
      </c>
      <c r="Q4" s="865" t="s">
        <v>187</v>
      </c>
      <c r="R4" s="866">
        <f>SUM(R16,R30,R50)</f>
        <v>2527</v>
      </c>
      <c r="S4" s="865" t="s">
        <v>187</v>
      </c>
      <c r="T4" s="866">
        <f>SUM(T16,T30,T50)</f>
        <v>2028</v>
      </c>
      <c r="U4" s="865" t="s">
        <v>187</v>
      </c>
      <c r="V4" s="866">
        <f>SUM(V16,V30,V50)</f>
        <v>240</v>
      </c>
      <c r="W4" s="865" t="s">
        <v>187</v>
      </c>
      <c r="X4" s="866">
        <f>SUM(X16,X30,X50)</f>
        <v>790</v>
      </c>
      <c r="Y4" s="865" t="s">
        <v>187</v>
      </c>
      <c r="Z4" s="866">
        <f>SUM(Z16,Z30,Z50)</f>
        <v>9028</v>
      </c>
      <c r="AA4" s="1202" t="s">
        <v>187</v>
      </c>
      <c r="AB4" s="1208">
        <f>SUM(AB16,AB30,AB50)</f>
        <v>2662373</v>
      </c>
      <c r="AC4" s="863" t="s">
        <v>188</v>
      </c>
      <c r="AD4" s="864">
        <f>SUM(AD16,AD30,AD50)</f>
        <v>256271</v>
      </c>
      <c r="AE4" s="863" t="s">
        <v>188</v>
      </c>
      <c r="AF4" s="864">
        <f>SUM(AF16,AF30,AF50)</f>
        <v>26706</v>
      </c>
      <c r="AG4" s="863" t="s">
        <v>188</v>
      </c>
      <c r="AH4" s="864">
        <f>SUM(AH16,AH30,AH50)</f>
        <v>254700</v>
      </c>
      <c r="AI4" s="865" t="s">
        <v>188</v>
      </c>
      <c r="AJ4" s="866">
        <f>SUM(AJ16,AJ30,AJ50)</f>
        <v>464953</v>
      </c>
      <c r="AK4" s="865" t="s">
        <v>188</v>
      </c>
      <c r="AL4" s="866">
        <f>SUM(AL16,AL30,AL50)</f>
        <v>306737</v>
      </c>
      <c r="AM4" s="865" t="s">
        <v>188</v>
      </c>
      <c r="AN4" s="866">
        <f>SUM(AN16,AN30,AN50)</f>
        <v>1353006</v>
      </c>
      <c r="AO4" s="865" t="s">
        <v>188</v>
      </c>
      <c r="AP4" s="1740"/>
    </row>
    <row r="5" spans="1:42" ht="25.5" customHeight="1">
      <c r="A5" s="1741" t="s">
        <v>10</v>
      </c>
      <c r="B5" s="1744" t="s">
        <v>18</v>
      </c>
      <c r="C5" s="1745"/>
      <c r="D5" s="1746">
        <v>16</v>
      </c>
      <c r="E5" s="1733">
        <v>118580</v>
      </c>
      <c r="F5" s="1733">
        <f>H5+AB6</f>
        <v>284913</v>
      </c>
      <c r="G5" s="1749">
        <f>F5/E5</f>
        <v>2.402707033226514</v>
      </c>
      <c r="H5" s="1746">
        <v>59106</v>
      </c>
      <c r="I5" s="1750">
        <f>H5/E5*100</f>
        <v>49.84483049418114</v>
      </c>
      <c r="J5" s="867">
        <f>SUM(L5,N5,P5,R5,Z5,T5,V5,X5)</f>
        <v>155</v>
      </c>
      <c r="K5" s="860" t="s">
        <v>185</v>
      </c>
      <c r="L5" s="859">
        <v>10</v>
      </c>
      <c r="M5" s="860" t="s">
        <v>185</v>
      </c>
      <c r="N5" s="859">
        <v>12</v>
      </c>
      <c r="O5" s="860" t="s">
        <v>185</v>
      </c>
      <c r="P5" s="859">
        <v>66</v>
      </c>
      <c r="Q5" s="860" t="s">
        <v>185</v>
      </c>
      <c r="R5" s="859">
        <v>6</v>
      </c>
      <c r="S5" s="860" t="s">
        <v>185</v>
      </c>
      <c r="T5" s="859">
        <v>18</v>
      </c>
      <c r="U5" s="860" t="s">
        <v>185</v>
      </c>
      <c r="V5" s="859">
        <v>3</v>
      </c>
      <c r="W5" s="860" t="s">
        <v>185</v>
      </c>
      <c r="X5" s="859">
        <v>10</v>
      </c>
      <c r="Y5" s="860" t="s">
        <v>185</v>
      </c>
      <c r="Z5" s="859">
        <v>30</v>
      </c>
      <c r="AA5" s="1201" t="s">
        <v>185</v>
      </c>
      <c r="AB5" s="1209">
        <f>SUM(AD5,AF5,AH5,AJ5,AL5,AN5)</f>
        <v>1913</v>
      </c>
      <c r="AC5" s="860" t="s">
        <v>186</v>
      </c>
      <c r="AD5" s="859">
        <v>65</v>
      </c>
      <c r="AE5" s="860" t="s">
        <v>186</v>
      </c>
      <c r="AF5" s="859">
        <v>9</v>
      </c>
      <c r="AG5" s="860" t="s">
        <v>186</v>
      </c>
      <c r="AH5" s="859">
        <v>64</v>
      </c>
      <c r="AI5" s="860" t="s">
        <v>186</v>
      </c>
      <c r="AJ5" s="859">
        <v>270</v>
      </c>
      <c r="AK5" s="860" t="s">
        <v>186</v>
      </c>
      <c r="AL5" s="859">
        <v>117</v>
      </c>
      <c r="AM5" s="860" t="s">
        <v>186</v>
      </c>
      <c r="AN5" s="859">
        <v>1388</v>
      </c>
      <c r="AO5" s="860" t="s">
        <v>186</v>
      </c>
      <c r="AP5" s="1752">
        <v>192</v>
      </c>
    </row>
    <row r="6" spans="1:42" ht="25.5" customHeight="1">
      <c r="A6" s="1742"/>
      <c r="B6" s="1336"/>
      <c r="C6" s="1337"/>
      <c r="D6" s="1747"/>
      <c r="E6" s="1748"/>
      <c r="F6" s="1748"/>
      <c r="G6" s="1749"/>
      <c r="H6" s="1747"/>
      <c r="I6" s="1751"/>
      <c r="J6" s="869">
        <f>SUM(L6,N6,P6,R6,Z6,T6,V6,X6)</f>
        <v>1038</v>
      </c>
      <c r="K6" s="870" t="s">
        <v>187</v>
      </c>
      <c r="L6" s="871">
        <v>53</v>
      </c>
      <c r="M6" s="870" t="s">
        <v>187</v>
      </c>
      <c r="N6" s="871">
        <v>192</v>
      </c>
      <c r="O6" s="870" t="s">
        <v>187</v>
      </c>
      <c r="P6" s="871">
        <v>436</v>
      </c>
      <c r="Q6" s="870" t="s">
        <v>187</v>
      </c>
      <c r="R6" s="871">
        <v>38</v>
      </c>
      <c r="S6" s="870" t="s">
        <v>187</v>
      </c>
      <c r="T6" s="871">
        <v>68</v>
      </c>
      <c r="U6" s="870" t="s">
        <v>187</v>
      </c>
      <c r="V6" s="871">
        <v>8</v>
      </c>
      <c r="W6" s="870" t="s">
        <v>187</v>
      </c>
      <c r="X6" s="871">
        <v>18</v>
      </c>
      <c r="Y6" s="870" t="s">
        <v>187</v>
      </c>
      <c r="Z6" s="871">
        <v>225</v>
      </c>
      <c r="AA6" s="1203" t="s">
        <v>187</v>
      </c>
      <c r="AB6" s="1210">
        <f aca="true" t="shared" si="0" ref="AB6:AB14">SUM(AD6,AF6,AH6,AJ6,AL6,AN6)</f>
        <v>225807</v>
      </c>
      <c r="AC6" s="870" t="s">
        <v>188</v>
      </c>
      <c r="AD6" s="871">
        <v>13614</v>
      </c>
      <c r="AE6" s="870" t="s">
        <v>188</v>
      </c>
      <c r="AF6" s="871">
        <v>286</v>
      </c>
      <c r="AG6" s="870" t="s">
        <v>188</v>
      </c>
      <c r="AH6" s="871">
        <v>3176</v>
      </c>
      <c r="AI6" s="870" t="s">
        <v>188</v>
      </c>
      <c r="AJ6" s="871">
        <v>47153</v>
      </c>
      <c r="AK6" s="870" t="s">
        <v>188</v>
      </c>
      <c r="AL6" s="871">
        <v>9760</v>
      </c>
      <c r="AM6" s="870" t="s">
        <v>188</v>
      </c>
      <c r="AN6" s="871">
        <v>151818</v>
      </c>
      <c r="AO6" s="870" t="s">
        <v>188</v>
      </c>
      <c r="AP6" s="1753"/>
    </row>
    <row r="7" spans="1:42" ht="25.5" customHeight="1">
      <c r="A7" s="1742"/>
      <c r="B7" s="1754" t="s">
        <v>19</v>
      </c>
      <c r="C7" s="1755"/>
      <c r="D7" s="1747">
        <v>29</v>
      </c>
      <c r="E7" s="1756">
        <v>107059</v>
      </c>
      <c r="F7" s="1756">
        <f>H7+AB8</f>
        <v>688461</v>
      </c>
      <c r="G7" s="1749">
        <f>F7/E7</f>
        <v>6.430669070325708</v>
      </c>
      <c r="H7" s="1747">
        <v>186797</v>
      </c>
      <c r="I7" s="1751">
        <f>H7/E7*100</f>
        <v>174.48042668061535</v>
      </c>
      <c r="J7" s="867">
        <f aca="true" t="shared" si="1" ref="J7:J14">SUM(L7,N7,P7,R7,Z7,T7,V7,X7)</f>
        <v>817</v>
      </c>
      <c r="K7" s="873" t="s">
        <v>185</v>
      </c>
      <c r="L7" s="868">
        <v>29</v>
      </c>
      <c r="M7" s="873" t="s">
        <v>185</v>
      </c>
      <c r="N7" s="868">
        <v>10</v>
      </c>
      <c r="O7" s="873" t="s">
        <v>185</v>
      </c>
      <c r="P7" s="868">
        <v>79</v>
      </c>
      <c r="Q7" s="873" t="s">
        <v>185</v>
      </c>
      <c r="R7" s="868">
        <v>39</v>
      </c>
      <c r="S7" s="873" t="s">
        <v>185</v>
      </c>
      <c r="T7" s="868">
        <v>137</v>
      </c>
      <c r="U7" s="873" t="s">
        <v>185</v>
      </c>
      <c r="V7" s="868">
        <v>0</v>
      </c>
      <c r="W7" s="873" t="s">
        <v>185</v>
      </c>
      <c r="X7" s="868">
        <v>164</v>
      </c>
      <c r="Y7" s="873" t="s">
        <v>185</v>
      </c>
      <c r="Z7" s="868">
        <v>359</v>
      </c>
      <c r="AA7" s="1204" t="s">
        <v>185</v>
      </c>
      <c r="AB7" s="1209">
        <f t="shared" si="0"/>
        <v>37175</v>
      </c>
      <c r="AC7" s="873" t="s">
        <v>186</v>
      </c>
      <c r="AD7" s="868">
        <v>4715</v>
      </c>
      <c r="AE7" s="873" t="s">
        <v>186</v>
      </c>
      <c r="AF7" s="868">
        <v>232</v>
      </c>
      <c r="AG7" s="873" t="s">
        <v>186</v>
      </c>
      <c r="AH7" s="868">
        <v>12486</v>
      </c>
      <c r="AI7" s="873" t="s">
        <v>186</v>
      </c>
      <c r="AJ7" s="868">
        <v>8180</v>
      </c>
      <c r="AK7" s="873" t="s">
        <v>186</v>
      </c>
      <c r="AL7" s="868">
        <v>6823</v>
      </c>
      <c r="AM7" s="873" t="s">
        <v>186</v>
      </c>
      <c r="AN7" s="868">
        <v>4739</v>
      </c>
      <c r="AO7" s="873" t="s">
        <v>186</v>
      </c>
      <c r="AP7" s="1757">
        <v>348</v>
      </c>
    </row>
    <row r="8" spans="1:42" ht="25.5" customHeight="1">
      <c r="A8" s="1742"/>
      <c r="B8" s="1336"/>
      <c r="C8" s="1337"/>
      <c r="D8" s="1747"/>
      <c r="E8" s="1748"/>
      <c r="F8" s="1748"/>
      <c r="G8" s="1749"/>
      <c r="H8" s="1747"/>
      <c r="I8" s="1751"/>
      <c r="J8" s="869">
        <f t="shared" si="1"/>
        <v>3964</v>
      </c>
      <c r="K8" s="874" t="s">
        <v>187</v>
      </c>
      <c r="L8" s="872">
        <v>338</v>
      </c>
      <c r="M8" s="874" t="s">
        <v>187</v>
      </c>
      <c r="N8" s="872">
        <v>23</v>
      </c>
      <c r="O8" s="874" t="s">
        <v>187</v>
      </c>
      <c r="P8" s="872">
        <v>467</v>
      </c>
      <c r="Q8" s="874" t="s">
        <v>187</v>
      </c>
      <c r="R8" s="872">
        <v>540</v>
      </c>
      <c r="S8" s="874" t="s">
        <v>187</v>
      </c>
      <c r="T8" s="872">
        <v>602</v>
      </c>
      <c r="U8" s="874" t="s">
        <v>187</v>
      </c>
      <c r="V8" s="872">
        <v>0</v>
      </c>
      <c r="W8" s="874" t="s">
        <v>187</v>
      </c>
      <c r="X8" s="872">
        <v>221</v>
      </c>
      <c r="Y8" s="874" t="s">
        <v>187</v>
      </c>
      <c r="Z8" s="872">
        <v>1773</v>
      </c>
      <c r="AA8" s="1205" t="s">
        <v>187</v>
      </c>
      <c r="AB8" s="1210">
        <f t="shared" si="0"/>
        <v>501664</v>
      </c>
      <c r="AC8" s="870" t="s">
        <v>188</v>
      </c>
      <c r="AD8" s="872">
        <v>76310</v>
      </c>
      <c r="AE8" s="874" t="s">
        <v>188</v>
      </c>
      <c r="AF8" s="872">
        <v>2402</v>
      </c>
      <c r="AG8" s="874" t="s">
        <v>188</v>
      </c>
      <c r="AH8" s="872">
        <v>146956</v>
      </c>
      <c r="AI8" s="874" t="s">
        <v>188</v>
      </c>
      <c r="AJ8" s="872">
        <v>71279</v>
      </c>
      <c r="AK8" s="874" t="s">
        <v>188</v>
      </c>
      <c r="AL8" s="872">
        <v>66622</v>
      </c>
      <c r="AM8" s="874" t="s">
        <v>188</v>
      </c>
      <c r="AN8" s="872">
        <v>138095</v>
      </c>
      <c r="AO8" s="874" t="s">
        <v>188</v>
      </c>
      <c r="AP8" s="1757"/>
    </row>
    <row r="9" spans="1:42" ht="25.5" customHeight="1">
      <c r="A9" s="1742"/>
      <c r="B9" s="1754" t="s">
        <v>39</v>
      </c>
      <c r="C9" s="1755"/>
      <c r="D9" s="1747">
        <v>20</v>
      </c>
      <c r="E9" s="1756">
        <v>86087</v>
      </c>
      <c r="F9" s="1758">
        <f>H9+AB10</f>
        <v>285731</v>
      </c>
      <c r="G9" s="1749">
        <f>F9/E9</f>
        <v>3.3190957984364653</v>
      </c>
      <c r="H9" s="1747">
        <v>80059</v>
      </c>
      <c r="I9" s="1751">
        <f>H9/E9*100</f>
        <v>92.99778131425185</v>
      </c>
      <c r="J9" s="867">
        <f t="shared" si="1"/>
        <v>446</v>
      </c>
      <c r="K9" s="873" t="s">
        <v>185</v>
      </c>
      <c r="L9" s="868">
        <v>41</v>
      </c>
      <c r="M9" s="873" t="s">
        <v>185</v>
      </c>
      <c r="N9" s="868">
        <v>32</v>
      </c>
      <c r="O9" s="873" t="s">
        <v>185</v>
      </c>
      <c r="P9" s="868">
        <v>65</v>
      </c>
      <c r="Q9" s="873" t="s">
        <v>185</v>
      </c>
      <c r="R9" s="868">
        <v>52</v>
      </c>
      <c r="S9" s="873" t="s">
        <v>185</v>
      </c>
      <c r="T9" s="868">
        <v>83</v>
      </c>
      <c r="U9" s="873" t="s">
        <v>185</v>
      </c>
      <c r="V9" s="868">
        <v>8</v>
      </c>
      <c r="W9" s="873" t="s">
        <v>185</v>
      </c>
      <c r="X9" s="868">
        <v>28</v>
      </c>
      <c r="Y9" s="873" t="s">
        <v>185</v>
      </c>
      <c r="Z9" s="868">
        <v>137</v>
      </c>
      <c r="AA9" s="1204" t="s">
        <v>185</v>
      </c>
      <c r="AB9" s="1209">
        <f t="shared" si="0"/>
        <v>14281</v>
      </c>
      <c r="AC9" s="873" t="s">
        <v>186</v>
      </c>
      <c r="AD9" s="868">
        <v>879</v>
      </c>
      <c r="AE9" s="873" t="s">
        <v>186</v>
      </c>
      <c r="AF9" s="868">
        <v>338</v>
      </c>
      <c r="AG9" s="873" t="s">
        <v>186</v>
      </c>
      <c r="AH9" s="868">
        <v>988</v>
      </c>
      <c r="AI9" s="873" t="s">
        <v>186</v>
      </c>
      <c r="AJ9" s="868">
        <v>4884</v>
      </c>
      <c r="AK9" s="873" t="s">
        <v>186</v>
      </c>
      <c r="AL9" s="868">
        <v>1255</v>
      </c>
      <c r="AM9" s="873" t="s">
        <v>186</v>
      </c>
      <c r="AN9" s="868">
        <v>5937</v>
      </c>
      <c r="AO9" s="873" t="s">
        <v>186</v>
      </c>
      <c r="AP9" s="1757">
        <v>139</v>
      </c>
    </row>
    <row r="10" spans="1:42" ht="25.5" customHeight="1">
      <c r="A10" s="1742"/>
      <c r="B10" s="1744"/>
      <c r="C10" s="1745"/>
      <c r="D10" s="1756"/>
      <c r="E10" s="1748"/>
      <c r="F10" s="1758"/>
      <c r="G10" s="1759"/>
      <c r="H10" s="1756"/>
      <c r="I10" s="1760"/>
      <c r="J10" s="869">
        <f t="shared" si="1"/>
        <v>1514</v>
      </c>
      <c r="K10" s="870" t="s">
        <v>187</v>
      </c>
      <c r="L10" s="871">
        <v>263</v>
      </c>
      <c r="M10" s="870" t="s">
        <v>187</v>
      </c>
      <c r="N10" s="871">
        <v>87</v>
      </c>
      <c r="O10" s="870" t="s">
        <v>187</v>
      </c>
      <c r="P10" s="871">
        <v>202</v>
      </c>
      <c r="Q10" s="870" t="s">
        <v>187</v>
      </c>
      <c r="R10" s="871">
        <v>139</v>
      </c>
      <c r="S10" s="870" t="s">
        <v>187</v>
      </c>
      <c r="T10" s="871">
        <v>313</v>
      </c>
      <c r="U10" s="870" t="s">
        <v>187</v>
      </c>
      <c r="V10" s="871">
        <v>18</v>
      </c>
      <c r="W10" s="870" t="s">
        <v>187</v>
      </c>
      <c r="X10" s="871">
        <v>44</v>
      </c>
      <c r="Y10" s="870" t="s">
        <v>187</v>
      </c>
      <c r="Z10" s="871">
        <v>448</v>
      </c>
      <c r="AA10" s="1203" t="s">
        <v>187</v>
      </c>
      <c r="AB10" s="1210">
        <f t="shared" si="0"/>
        <v>205672</v>
      </c>
      <c r="AC10" s="870" t="s">
        <v>188</v>
      </c>
      <c r="AD10" s="871">
        <v>23980</v>
      </c>
      <c r="AE10" s="870" t="s">
        <v>188</v>
      </c>
      <c r="AF10" s="871">
        <v>5976</v>
      </c>
      <c r="AG10" s="870" t="s">
        <v>188</v>
      </c>
      <c r="AH10" s="871">
        <v>11413</v>
      </c>
      <c r="AI10" s="870" t="s">
        <v>188</v>
      </c>
      <c r="AJ10" s="871">
        <v>46388</v>
      </c>
      <c r="AK10" s="870" t="s">
        <v>188</v>
      </c>
      <c r="AL10" s="871">
        <v>13657</v>
      </c>
      <c r="AM10" s="870" t="s">
        <v>188</v>
      </c>
      <c r="AN10" s="871">
        <v>104258</v>
      </c>
      <c r="AO10" s="870" t="s">
        <v>188</v>
      </c>
      <c r="AP10" s="1753"/>
    </row>
    <row r="11" spans="1:42" ht="25.5" customHeight="1">
      <c r="A11" s="1742"/>
      <c r="B11" s="1754" t="s">
        <v>21</v>
      </c>
      <c r="C11" s="1755"/>
      <c r="D11" s="1747">
        <v>23</v>
      </c>
      <c r="E11" s="1756">
        <v>155860</v>
      </c>
      <c r="F11" s="1756">
        <f>H11+AB12</f>
        <v>461464</v>
      </c>
      <c r="G11" s="1749">
        <f>F11/E11</f>
        <v>2.96075965610163</v>
      </c>
      <c r="H11" s="1747">
        <v>106667</v>
      </c>
      <c r="I11" s="1751">
        <f>H11/E11*100</f>
        <v>68.43770050044911</v>
      </c>
      <c r="J11" s="867">
        <f t="shared" si="1"/>
        <v>484</v>
      </c>
      <c r="K11" s="873" t="s">
        <v>185</v>
      </c>
      <c r="L11" s="868">
        <v>13</v>
      </c>
      <c r="M11" s="873" t="s">
        <v>185</v>
      </c>
      <c r="N11" s="868">
        <v>11</v>
      </c>
      <c r="O11" s="873" t="s">
        <v>185</v>
      </c>
      <c r="P11" s="868">
        <v>31</v>
      </c>
      <c r="Q11" s="873" t="s">
        <v>185</v>
      </c>
      <c r="R11" s="868">
        <v>59</v>
      </c>
      <c r="S11" s="873" t="s">
        <v>185</v>
      </c>
      <c r="T11" s="868">
        <v>20</v>
      </c>
      <c r="U11" s="873" t="s">
        <v>185</v>
      </c>
      <c r="V11" s="868">
        <v>1</v>
      </c>
      <c r="W11" s="873" t="s">
        <v>185</v>
      </c>
      <c r="X11" s="868">
        <v>7</v>
      </c>
      <c r="Y11" s="873" t="s">
        <v>185</v>
      </c>
      <c r="Z11" s="868">
        <v>342</v>
      </c>
      <c r="AA11" s="1204" t="s">
        <v>185</v>
      </c>
      <c r="AB11" s="1209">
        <f t="shared" si="0"/>
        <v>23793</v>
      </c>
      <c r="AC11" s="873" t="s">
        <v>186</v>
      </c>
      <c r="AD11" s="868">
        <v>600</v>
      </c>
      <c r="AE11" s="873" t="s">
        <v>186</v>
      </c>
      <c r="AF11" s="868">
        <v>108</v>
      </c>
      <c r="AG11" s="873" t="s">
        <v>186</v>
      </c>
      <c r="AH11" s="868">
        <v>413</v>
      </c>
      <c r="AI11" s="873" t="s">
        <v>186</v>
      </c>
      <c r="AJ11" s="868">
        <v>6832</v>
      </c>
      <c r="AK11" s="873" t="s">
        <v>186</v>
      </c>
      <c r="AL11" s="868">
        <v>3812</v>
      </c>
      <c r="AM11" s="873" t="s">
        <v>186</v>
      </c>
      <c r="AN11" s="868">
        <v>12028</v>
      </c>
      <c r="AO11" s="873" t="s">
        <v>186</v>
      </c>
      <c r="AP11" s="1757">
        <v>168</v>
      </c>
    </row>
    <row r="12" spans="1:42" ht="25.5" customHeight="1">
      <c r="A12" s="1742"/>
      <c r="B12" s="1336"/>
      <c r="C12" s="1337"/>
      <c r="D12" s="1747"/>
      <c r="E12" s="1748"/>
      <c r="F12" s="1748"/>
      <c r="G12" s="1749"/>
      <c r="H12" s="1747"/>
      <c r="I12" s="1751"/>
      <c r="J12" s="869">
        <f t="shared" si="1"/>
        <v>2119</v>
      </c>
      <c r="K12" s="874" t="s">
        <v>187</v>
      </c>
      <c r="L12" s="872">
        <v>87</v>
      </c>
      <c r="M12" s="874" t="s">
        <v>187</v>
      </c>
      <c r="N12" s="872">
        <v>62</v>
      </c>
      <c r="O12" s="874" t="s">
        <v>187</v>
      </c>
      <c r="P12" s="872">
        <v>47</v>
      </c>
      <c r="Q12" s="874" t="s">
        <v>187</v>
      </c>
      <c r="R12" s="872">
        <v>103</v>
      </c>
      <c r="S12" s="874" t="s">
        <v>187</v>
      </c>
      <c r="T12" s="872">
        <v>26</v>
      </c>
      <c r="U12" s="874" t="s">
        <v>187</v>
      </c>
      <c r="V12" s="872">
        <v>1</v>
      </c>
      <c r="W12" s="874" t="s">
        <v>187</v>
      </c>
      <c r="X12" s="872">
        <v>13</v>
      </c>
      <c r="Y12" s="874" t="s">
        <v>187</v>
      </c>
      <c r="Z12" s="872">
        <v>1780</v>
      </c>
      <c r="AA12" s="1205" t="s">
        <v>187</v>
      </c>
      <c r="AB12" s="1210">
        <f t="shared" si="0"/>
        <v>354797</v>
      </c>
      <c r="AC12" s="874" t="s">
        <v>188</v>
      </c>
      <c r="AD12" s="872">
        <v>8353</v>
      </c>
      <c r="AE12" s="874" t="s">
        <v>188</v>
      </c>
      <c r="AF12" s="872">
        <v>909</v>
      </c>
      <c r="AG12" s="874" t="s">
        <v>188</v>
      </c>
      <c r="AH12" s="872">
        <v>4382</v>
      </c>
      <c r="AI12" s="874" t="s">
        <v>188</v>
      </c>
      <c r="AJ12" s="872">
        <v>72366</v>
      </c>
      <c r="AK12" s="874" t="s">
        <v>188</v>
      </c>
      <c r="AL12" s="872">
        <v>42953</v>
      </c>
      <c r="AM12" s="874" t="s">
        <v>188</v>
      </c>
      <c r="AN12" s="872">
        <v>225834</v>
      </c>
      <c r="AO12" s="874" t="s">
        <v>188</v>
      </c>
      <c r="AP12" s="1757"/>
    </row>
    <row r="13" spans="1:42" ht="25.5" customHeight="1">
      <c r="A13" s="1742"/>
      <c r="B13" s="1754" t="s">
        <v>40</v>
      </c>
      <c r="C13" s="1755"/>
      <c r="D13" s="1747">
        <v>4</v>
      </c>
      <c r="E13" s="1756">
        <v>6971</v>
      </c>
      <c r="F13" s="1756">
        <f>H13+AB14</f>
        <v>6328</v>
      </c>
      <c r="G13" s="1749">
        <f>F13/E13</f>
        <v>0.9077607229952661</v>
      </c>
      <c r="H13" s="1747">
        <v>446</v>
      </c>
      <c r="I13" s="1751">
        <f>H13/E13*100</f>
        <v>6.397934299239708</v>
      </c>
      <c r="J13" s="867">
        <f t="shared" si="1"/>
        <v>5</v>
      </c>
      <c r="K13" s="873" t="s">
        <v>185</v>
      </c>
      <c r="L13" s="868">
        <v>0</v>
      </c>
      <c r="M13" s="873" t="s">
        <v>185</v>
      </c>
      <c r="N13" s="868">
        <v>0</v>
      </c>
      <c r="O13" s="873" t="s">
        <v>185</v>
      </c>
      <c r="P13" s="868">
        <v>1</v>
      </c>
      <c r="Q13" s="873" t="s">
        <v>185</v>
      </c>
      <c r="R13" s="868">
        <v>0</v>
      </c>
      <c r="S13" s="873" t="s">
        <v>185</v>
      </c>
      <c r="T13" s="868">
        <v>0</v>
      </c>
      <c r="U13" s="873" t="s">
        <v>185</v>
      </c>
      <c r="V13" s="868">
        <v>2</v>
      </c>
      <c r="W13" s="873" t="s">
        <v>185</v>
      </c>
      <c r="X13" s="868">
        <v>1</v>
      </c>
      <c r="Y13" s="873" t="s">
        <v>185</v>
      </c>
      <c r="Z13" s="868">
        <v>1</v>
      </c>
      <c r="AA13" s="1204" t="s">
        <v>185</v>
      </c>
      <c r="AB13" s="1209">
        <f t="shared" si="0"/>
        <v>29</v>
      </c>
      <c r="AC13" s="873" t="s">
        <v>186</v>
      </c>
      <c r="AD13" s="868">
        <v>0</v>
      </c>
      <c r="AE13" s="873" t="s">
        <v>186</v>
      </c>
      <c r="AF13" s="868">
        <v>0</v>
      </c>
      <c r="AG13" s="873" t="s">
        <v>186</v>
      </c>
      <c r="AH13" s="868">
        <v>1</v>
      </c>
      <c r="AI13" s="873" t="s">
        <v>186</v>
      </c>
      <c r="AJ13" s="868">
        <v>1</v>
      </c>
      <c r="AK13" s="873" t="s">
        <v>186</v>
      </c>
      <c r="AL13" s="868">
        <v>1</v>
      </c>
      <c r="AM13" s="873" t="s">
        <v>186</v>
      </c>
      <c r="AN13" s="868">
        <v>26</v>
      </c>
      <c r="AO13" s="873" t="s">
        <v>186</v>
      </c>
      <c r="AP13" s="1757">
        <v>0</v>
      </c>
    </row>
    <row r="14" spans="1:42" ht="25.5" customHeight="1" thickBot="1">
      <c r="A14" s="1742"/>
      <c r="B14" s="1761"/>
      <c r="C14" s="1762"/>
      <c r="D14" s="1763"/>
      <c r="E14" s="1764"/>
      <c r="F14" s="1764"/>
      <c r="G14" s="1765"/>
      <c r="H14" s="1763"/>
      <c r="I14" s="1766"/>
      <c r="J14" s="1198">
        <f t="shared" si="1"/>
        <v>5</v>
      </c>
      <c r="K14" s="1199" t="s">
        <v>187</v>
      </c>
      <c r="L14" s="1200">
        <v>0</v>
      </c>
      <c r="M14" s="1199" t="s">
        <v>187</v>
      </c>
      <c r="N14" s="1200">
        <v>0</v>
      </c>
      <c r="O14" s="1199" t="s">
        <v>187</v>
      </c>
      <c r="P14" s="1200">
        <v>1</v>
      </c>
      <c r="Q14" s="1199" t="s">
        <v>187</v>
      </c>
      <c r="R14" s="1200">
        <v>0</v>
      </c>
      <c r="S14" s="1199" t="s">
        <v>187</v>
      </c>
      <c r="T14" s="1200">
        <v>0</v>
      </c>
      <c r="U14" s="1199" t="s">
        <v>187</v>
      </c>
      <c r="V14" s="1200">
        <v>2</v>
      </c>
      <c r="W14" s="1199" t="s">
        <v>187</v>
      </c>
      <c r="X14" s="1200">
        <v>1</v>
      </c>
      <c r="Y14" s="1199" t="s">
        <v>187</v>
      </c>
      <c r="Z14" s="1200">
        <v>1</v>
      </c>
      <c r="AA14" s="1206" t="s">
        <v>187</v>
      </c>
      <c r="AB14" s="1211">
        <f t="shared" si="0"/>
        <v>5882</v>
      </c>
      <c r="AC14" s="1199" t="s">
        <v>188</v>
      </c>
      <c r="AD14" s="1200">
        <v>0</v>
      </c>
      <c r="AE14" s="1199" t="s">
        <v>188</v>
      </c>
      <c r="AF14" s="1200">
        <v>0</v>
      </c>
      <c r="AG14" s="1199" t="s">
        <v>188</v>
      </c>
      <c r="AH14" s="1200">
        <v>25</v>
      </c>
      <c r="AI14" s="1199" t="s">
        <v>188</v>
      </c>
      <c r="AJ14" s="1200">
        <v>26</v>
      </c>
      <c r="AK14" s="1199" t="s">
        <v>188</v>
      </c>
      <c r="AL14" s="1200">
        <v>227</v>
      </c>
      <c r="AM14" s="1199" t="s">
        <v>188</v>
      </c>
      <c r="AN14" s="1200">
        <v>5604</v>
      </c>
      <c r="AO14" s="1199" t="s">
        <v>188</v>
      </c>
      <c r="AP14" s="1767"/>
    </row>
    <row r="15" spans="1:42" ht="25.5" customHeight="1" thickTop="1">
      <c r="A15" s="1742"/>
      <c r="B15" s="1768" t="s">
        <v>20</v>
      </c>
      <c r="C15" s="1769"/>
      <c r="D15" s="1748">
        <f>SUM(D5:D14)</f>
        <v>92</v>
      </c>
      <c r="E15" s="1758">
        <f>SUM(E5:E14)</f>
        <v>474557</v>
      </c>
      <c r="F15" s="1748">
        <f>SUM(F5:F14)</f>
        <v>1726897</v>
      </c>
      <c r="G15" s="1771">
        <f>F15/E15</f>
        <v>3.638966446601778</v>
      </c>
      <c r="H15" s="1748">
        <f>SUM(H5:H14)</f>
        <v>433075</v>
      </c>
      <c r="I15" s="1773">
        <f>H15/E15*100</f>
        <v>91.25879504464164</v>
      </c>
      <c r="J15" s="877">
        <f>SUM(J5,J7,J9,J11,J13)</f>
        <v>1907</v>
      </c>
      <c r="K15" s="875" t="s">
        <v>185</v>
      </c>
      <c r="L15" s="871">
        <f>SUM(L5,L7,L9,L11,L13)</f>
        <v>93</v>
      </c>
      <c r="M15" s="875" t="s">
        <v>185</v>
      </c>
      <c r="N15" s="871">
        <f>SUM(N5,N7,N9,N11,N13)</f>
        <v>65</v>
      </c>
      <c r="O15" s="870" t="s">
        <v>185</v>
      </c>
      <c r="P15" s="876">
        <f>SUM(P5,P7,P9,P11,P13)</f>
        <v>242</v>
      </c>
      <c r="Q15" s="870" t="s">
        <v>185</v>
      </c>
      <c r="R15" s="876">
        <f>SUM(R5,R7,R9,R11,R13)</f>
        <v>156</v>
      </c>
      <c r="S15" s="870" t="s">
        <v>185</v>
      </c>
      <c r="T15" s="876">
        <f>SUM(T5,T7,T9,T11,T13)</f>
        <v>258</v>
      </c>
      <c r="U15" s="870" t="s">
        <v>185</v>
      </c>
      <c r="V15" s="876">
        <f>SUM(V5,V7,V9,V11,V13)</f>
        <v>14</v>
      </c>
      <c r="W15" s="870" t="s">
        <v>185</v>
      </c>
      <c r="X15" s="876">
        <f>SUM(X5,X7,X9,X11,X13)</f>
        <v>210</v>
      </c>
      <c r="Y15" s="870" t="s">
        <v>185</v>
      </c>
      <c r="Z15" s="876">
        <f>SUM(Z5,Z7,Z9,Z11,Z13)</f>
        <v>869</v>
      </c>
      <c r="AA15" s="1203" t="s">
        <v>185</v>
      </c>
      <c r="AB15" s="1212">
        <f>SUM(AB5,AB7,AB9,AB11,AB13)</f>
        <v>77191</v>
      </c>
      <c r="AC15" s="875" t="s">
        <v>186</v>
      </c>
      <c r="AD15" s="871">
        <f>SUM(AD5,AD7,AD9,AD11,AD13)</f>
        <v>6259</v>
      </c>
      <c r="AE15" s="875" t="s">
        <v>186</v>
      </c>
      <c r="AF15" s="871">
        <f>SUM(AF5,AF7,AF9,AF11,AF13)</f>
        <v>687</v>
      </c>
      <c r="AG15" s="870" t="s">
        <v>186</v>
      </c>
      <c r="AH15" s="876">
        <f>SUM(AH5,AH7,AH9,AH11,AH13)</f>
        <v>13952</v>
      </c>
      <c r="AI15" s="875" t="s">
        <v>186</v>
      </c>
      <c r="AJ15" s="871">
        <f>SUM(AJ5,AJ7,AJ9,AJ11,AJ13)</f>
        <v>20167</v>
      </c>
      <c r="AK15" s="875" t="s">
        <v>186</v>
      </c>
      <c r="AL15" s="871">
        <f>SUM(AL5,AL7,AL9,AL11,AL13)</f>
        <v>12008</v>
      </c>
      <c r="AM15" s="870" t="s">
        <v>186</v>
      </c>
      <c r="AN15" s="876">
        <f>SUM(AN5,AN7,AN9,AN11,AN13)</f>
        <v>24118</v>
      </c>
      <c r="AO15" s="870" t="s">
        <v>186</v>
      </c>
      <c r="AP15" s="1775">
        <f>SUM(AP5:AP14)</f>
        <v>847</v>
      </c>
    </row>
    <row r="16" spans="1:42" ht="25.5" customHeight="1" thickBot="1">
      <c r="A16" s="1743"/>
      <c r="B16" s="1728"/>
      <c r="C16" s="1374"/>
      <c r="D16" s="1770"/>
      <c r="E16" s="1734"/>
      <c r="F16" s="1770"/>
      <c r="G16" s="1772"/>
      <c r="H16" s="1770"/>
      <c r="I16" s="1774"/>
      <c r="J16" s="877">
        <f>SUM(J6,J8,J10,J12,J14)</f>
        <v>8640</v>
      </c>
      <c r="K16" s="878" t="s">
        <v>187</v>
      </c>
      <c r="L16" s="864">
        <f>SUM(L6,L8,L10,L12,L14)</f>
        <v>741</v>
      </c>
      <c r="M16" s="863" t="s">
        <v>187</v>
      </c>
      <c r="N16" s="864">
        <f>SUM(N6,N8,N10,N12,N14)</f>
        <v>364</v>
      </c>
      <c r="O16" s="865" t="s">
        <v>187</v>
      </c>
      <c r="P16" s="866">
        <f>SUM(P6,P8,P10,P12,P14)</f>
        <v>1153</v>
      </c>
      <c r="Q16" s="865" t="s">
        <v>187</v>
      </c>
      <c r="R16" s="876">
        <f>SUM(R6,R8,R10,R12,R14)</f>
        <v>820</v>
      </c>
      <c r="S16" s="865" t="s">
        <v>187</v>
      </c>
      <c r="T16" s="876">
        <f>SUM(T6,T8,T10,T12,T14)</f>
        <v>1009</v>
      </c>
      <c r="U16" s="865" t="s">
        <v>187</v>
      </c>
      <c r="V16" s="876">
        <f>SUM(V6,V8,V10,V12,V14)</f>
        <v>29</v>
      </c>
      <c r="W16" s="865" t="s">
        <v>187</v>
      </c>
      <c r="X16" s="876">
        <f>SUM(X6,X8,X10,X12,X14)</f>
        <v>297</v>
      </c>
      <c r="Y16" s="865" t="s">
        <v>187</v>
      </c>
      <c r="Z16" s="876">
        <f>SUM(Z6,Z8,Z10,Z12,Z14)</f>
        <v>4227</v>
      </c>
      <c r="AA16" s="1202" t="s">
        <v>187</v>
      </c>
      <c r="AB16" s="1208">
        <f>SUM(AB6,AB8,AB10,AB12,AB14)</f>
        <v>1293822</v>
      </c>
      <c r="AC16" s="863" t="s">
        <v>188</v>
      </c>
      <c r="AD16" s="864">
        <f>SUM(AD6,AD8,AD10,AD12,AD14)</f>
        <v>122257</v>
      </c>
      <c r="AE16" s="863" t="s">
        <v>188</v>
      </c>
      <c r="AF16" s="864">
        <f>SUM(AF6,AF8,AF10,AF12,AF14)</f>
        <v>9573</v>
      </c>
      <c r="AG16" s="865" t="s">
        <v>188</v>
      </c>
      <c r="AH16" s="876">
        <f>SUM(AH6,AH8,AH10,AH12,AH14)</f>
        <v>165952</v>
      </c>
      <c r="AI16" s="863" t="s">
        <v>188</v>
      </c>
      <c r="AJ16" s="864">
        <f>SUM(AJ6,AJ8,AJ10,AJ12,AJ14)</f>
        <v>237212</v>
      </c>
      <c r="AK16" s="863" t="s">
        <v>188</v>
      </c>
      <c r="AL16" s="864">
        <f>SUM(AL6,AL8,AL10,AL12,AL14)</f>
        <v>133219</v>
      </c>
      <c r="AM16" s="865" t="s">
        <v>188</v>
      </c>
      <c r="AN16" s="876">
        <f>SUM(AN6,AN8,AN10,AN12,AN14)</f>
        <v>625609</v>
      </c>
      <c r="AO16" s="865" t="s">
        <v>188</v>
      </c>
      <c r="AP16" s="1776"/>
    </row>
    <row r="17" spans="1:42" ht="25.5" customHeight="1">
      <c r="A17" s="1741" t="s">
        <v>145</v>
      </c>
      <c r="B17" s="1348" t="s">
        <v>22</v>
      </c>
      <c r="C17" s="1349"/>
      <c r="D17" s="1746">
        <v>41</v>
      </c>
      <c r="E17" s="1733">
        <v>512780</v>
      </c>
      <c r="F17" s="1758">
        <f>H17+AB18</f>
        <v>489279</v>
      </c>
      <c r="G17" s="1777">
        <f>F17/E17</f>
        <v>0.9541694293849214</v>
      </c>
      <c r="H17" s="1746">
        <v>169780</v>
      </c>
      <c r="I17" s="1750">
        <f>H17/E17*100</f>
        <v>33.109715667537735</v>
      </c>
      <c r="J17" s="857">
        <f aca="true" t="shared" si="2" ref="J17:J28">SUM(L17,N17,P17,R17,Z17,T17,V17,X17)</f>
        <v>766</v>
      </c>
      <c r="K17" s="860" t="s">
        <v>185</v>
      </c>
      <c r="L17" s="859">
        <v>85</v>
      </c>
      <c r="M17" s="870" t="s">
        <v>185</v>
      </c>
      <c r="N17" s="859">
        <v>36</v>
      </c>
      <c r="O17" s="860" t="s">
        <v>185</v>
      </c>
      <c r="P17" s="859">
        <v>106</v>
      </c>
      <c r="Q17" s="860" t="s">
        <v>185</v>
      </c>
      <c r="R17" s="859">
        <v>90</v>
      </c>
      <c r="S17" s="860" t="s">
        <v>185</v>
      </c>
      <c r="T17" s="859">
        <v>147</v>
      </c>
      <c r="U17" s="860" t="s">
        <v>185</v>
      </c>
      <c r="V17" s="859">
        <v>18</v>
      </c>
      <c r="W17" s="860" t="s">
        <v>185</v>
      </c>
      <c r="X17" s="859">
        <v>48</v>
      </c>
      <c r="Y17" s="860" t="s">
        <v>185</v>
      </c>
      <c r="Z17" s="859">
        <v>236</v>
      </c>
      <c r="AA17" s="1201" t="s">
        <v>185</v>
      </c>
      <c r="AB17" s="1209">
        <f aca="true" t="shared" si="3" ref="AB17:AB28">SUM(AD17,AF17,AH17,AJ17,AL17,AN17)</f>
        <v>3860</v>
      </c>
      <c r="AC17" s="870" t="s">
        <v>186</v>
      </c>
      <c r="AD17" s="859">
        <v>548</v>
      </c>
      <c r="AE17" s="860" t="s">
        <v>186</v>
      </c>
      <c r="AF17" s="859">
        <v>50</v>
      </c>
      <c r="AG17" s="860" t="s">
        <v>186</v>
      </c>
      <c r="AH17" s="859">
        <v>353</v>
      </c>
      <c r="AI17" s="860" t="s">
        <v>186</v>
      </c>
      <c r="AJ17" s="859">
        <v>1260</v>
      </c>
      <c r="AK17" s="873" t="s">
        <v>186</v>
      </c>
      <c r="AL17" s="859">
        <v>365</v>
      </c>
      <c r="AM17" s="873" t="s">
        <v>186</v>
      </c>
      <c r="AN17" s="859">
        <v>1284</v>
      </c>
      <c r="AO17" s="860" t="s">
        <v>186</v>
      </c>
      <c r="AP17" s="1752">
        <v>614</v>
      </c>
    </row>
    <row r="18" spans="1:42" ht="25.5" customHeight="1">
      <c r="A18" s="1742"/>
      <c r="B18" s="1332"/>
      <c r="C18" s="1333"/>
      <c r="D18" s="1747"/>
      <c r="E18" s="1748"/>
      <c r="F18" s="1748"/>
      <c r="G18" s="1749"/>
      <c r="H18" s="1747"/>
      <c r="I18" s="1751"/>
      <c r="J18" s="869">
        <f t="shared" si="2"/>
        <v>2983</v>
      </c>
      <c r="K18" s="870" t="s">
        <v>187</v>
      </c>
      <c r="L18" s="871">
        <v>622</v>
      </c>
      <c r="M18" s="870" t="s">
        <v>187</v>
      </c>
      <c r="N18" s="871">
        <v>173</v>
      </c>
      <c r="O18" s="870" t="s">
        <v>187</v>
      </c>
      <c r="P18" s="871">
        <v>320</v>
      </c>
      <c r="Q18" s="870" t="s">
        <v>187</v>
      </c>
      <c r="R18" s="871">
        <v>234</v>
      </c>
      <c r="S18" s="870" t="s">
        <v>187</v>
      </c>
      <c r="T18" s="871">
        <v>175</v>
      </c>
      <c r="U18" s="870" t="s">
        <v>187</v>
      </c>
      <c r="V18" s="871">
        <v>74</v>
      </c>
      <c r="W18" s="870" t="s">
        <v>187</v>
      </c>
      <c r="X18" s="871">
        <v>152</v>
      </c>
      <c r="Y18" s="870" t="s">
        <v>187</v>
      </c>
      <c r="Z18" s="871">
        <v>1233</v>
      </c>
      <c r="AA18" s="1203" t="s">
        <v>187</v>
      </c>
      <c r="AB18" s="1210">
        <f t="shared" si="3"/>
        <v>319499</v>
      </c>
      <c r="AC18" s="870" t="s">
        <v>188</v>
      </c>
      <c r="AD18" s="871">
        <v>52797</v>
      </c>
      <c r="AE18" s="870" t="s">
        <v>188</v>
      </c>
      <c r="AF18" s="871">
        <v>6613</v>
      </c>
      <c r="AG18" s="870" t="s">
        <v>188</v>
      </c>
      <c r="AH18" s="871">
        <v>21771</v>
      </c>
      <c r="AI18" s="870" t="s">
        <v>188</v>
      </c>
      <c r="AJ18" s="871">
        <v>78812</v>
      </c>
      <c r="AK18" s="870" t="s">
        <v>188</v>
      </c>
      <c r="AL18" s="871">
        <v>54989</v>
      </c>
      <c r="AM18" s="870" t="s">
        <v>188</v>
      </c>
      <c r="AN18" s="871">
        <v>104517</v>
      </c>
      <c r="AO18" s="870" t="s">
        <v>188</v>
      </c>
      <c r="AP18" s="1753"/>
    </row>
    <row r="19" spans="1:42" ht="25.5" customHeight="1">
      <c r="A19" s="1742"/>
      <c r="B19" s="1778" t="s">
        <v>705</v>
      </c>
      <c r="C19" s="1333"/>
      <c r="D19" s="1747">
        <v>7</v>
      </c>
      <c r="E19" s="1756">
        <v>36195</v>
      </c>
      <c r="F19" s="1758">
        <f>H19+AB20</f>
        <v>61653</v>
      </c>
      <c r="G19" s="1749">
        <f>F19/E19</f>
        <v>1.7033568172399502</v>
      </c>
      <c r="H19" s="1747">
        <v>9284</v>
      </c>
      <c r="I19" s="1751">
        <f>H19/E19*100</f>
        <v>25.649951650780494</v>
      </c>
      <c r="J19" s="867">
        <f t="shared" si="2"/>
        <v>49</v>
      </c>
      <c r="K19" s="873" t="s">
        <v>185</v>
      </c>
      <c r="L19" s="868">
        <v>4</v>
      </c>
      <c r="M19" s="873" t="s">
        <v>185</v>
      </c>
      <c r="N19" s="868">
        <v>2</v>
      </c>
      <c r="O19" s="873" t="s">
        <v>185</v>
      </c>
      <c r="P19" s="868">
        <v>13</v>
      </c>
      <c r="Q19" s="873" t="s">
        <v>185</v>
      </c>
      <c r="R19" s="868">
        <v>0</v>
      </c>
      <c r="S19" s="873" t="s">
        <v>185</v>
      </c>
      <c r="T19" s="868">
        <v>8</v>
      </c>
      <c r="U19" s="873" t="s">
        <v>185</v>
      </c>
      <c r="V19" s="868">
        <v>0</v>
      </c>
      <c r="W19" s="873" t="s">
        <v>185</v>
      </c>
      <c r="X19" s="868">
        <v>5</v>
      </c>
      <c r="Y19" s="873" t="s">
        <v>185</v>
      </c>
      <c r="Z19" s="868">
        <v>17</v>
      </c>
      <c r="AA19" s="1204" t="s">
        <v>185</v>
      </c>
      <c r="AB19" s="1209">
        <f t="shared" si="3"/>
        <v>318</v>
      </c>
      <c r="AC19" s="873" t="s">
        <v>186</v>
      </c>
      <c r="AD19" s="868">
        <v>15</v>
      </c>
      <c r="AE19" s="873" t="s">
        <v>186</v>
      </c>
      <c r="AF19" s="868">
        <v>0</v>
      </c>
      <c r="AG19" s="873" t="s">
        <v>186</v>
      </c>
      <c r="AH19" s="868">
        <v>0</v>
      </c>
      <c r="AI19" s="873" t="s">
        <v>186</v>
      </c>
      <c r="AJ19" s="868">
        <v>38</v>
      </c>
      <c r="AK19" s="873" t="s">
        <v>186</v>
      </c>
      <c r="AL19" s="868">
        <v>7</v>
      </c>
      <c r="AM19" s="873" t="s">
        <v>186</v>
      </c>
      <c r="AN19" s="868">
        <v>258</v>
      </c>
      <c r="AO19" s="873" t="s">
        <v>186</v>
      </c>
      <c r="AP19" s="1757">
        <v>72</v>
      </c>
    </row>
    <row r="20" spans="1:42" ht="25.5" customHeight="1">
      <c r="A20" s="1742"/>
      <c r="B20" s="1332"/>
      <c r="C20" s="1333"/>
      <c r="D20" s="1747"/>
      <c r="E20" s="1748"/>
      <c r="F20" s="1748"/>
      <c r="G20" s="1749"/>
      <c r="H20" s="1747"/>
      <c r="I20" s="1751"/>
      <c r="J20" s="869">
        <f t="shared" si="2"/>
        <v>189</v>
      </c>
      <c r="K20" s="874" t="s">
        <v>187</v>
      </c>
      <c r="L20" s="872">
        <v>13</v>
      </c>
      <c r="M20" s="874" t="s">
        <v>187</v>
      </c>
      <c r="N20" s="872">
        <v>3</v>
      </c>
      <c r="O20" s="874" t="s">
        <v>187</v>
      </c>
      <c r="P20" s="872">
        <v>56</v>
      </c>
      <c r="Q20" s="874" t="s">
        <v>187</v>
      </c>
      <c r="R20" s="872">
        <v>0</v>
      </c>
      <c r="S20" s="874" t="s">
        <v>187</v>
      </c>
      <c r="T20" s="872">
        <v>9</v>
      </c>
      <c r="U20" s="874" t="s">
        <v>187</v>
      </c>
      <c r="V20" s="872">
        <v>0</v>
      </c>
      <c r="W20" s="874" t="s">
        <v>187</v>
      </c>
      <c r="X20" s="872">
        <v>5</v>
      </c>
      <c r="Y20" s="874" t="s">
        <v>187</v>
      </c>
      <c r="Z20" s="872">
        <v>103</v>
      </c>
      <c r="AA20" s="1205" t="s">
        <v>187</v>
      </c>
      <c r="AB20" s="1210">
        <f t="shared" si="3"/>
        <v>52369</v>
      </c>
      <c r="AC20" s="874" t="s">
        <v>188</v>
      </c>
      <c r="AD20" s="872">
        <v>5054</v>
      </c>
      <c r="AE20" s="874" t="s">
        <v>188</v>
      </c>
      <c r="AF20" s="872">
        <v>0</v>
      </c>
      <c r="AG20" s="874" t="s">
        <v>188</v>
      </c>
      <c r="AH20" s="872">
        <v>0</v>
      </c>
      <c r="AI20" s="874" t="s">
        <v>188</v>
      </c>
      <c r="AJ20" s="872">
        <v>6139</v>
      </c>
      <c r="AK20" s="874" t="s">
        <v>188</v>
      </c>
      <c r="AL20" s="872">
        <v>1486</v>
      </c>
      <c r="AM20" s="874" t="s">
        <v>188</v>
      </c>
      <c r="AN20" s="872">
        <v>39690</v>
      </c>
      <c r="AO20" s="874" t="s">
        <v>188</v>
      </c>
      <c r="AP20" s="1757"/>
    </row>
    <row r="21" spans="1:42" ht="25.5" customHeight="1">
      <c r="A21" s="1742"/>
      <c r="B21" s="1332" t="s">
        <v>41</v>
      </c>
      <c r="C21" s="1333"/>
      <c r="D21" s="1747">
        <v>2</v>
      </c>
      <c r="E21" s="1756">
        <v>34320</v>
      </c>
      <c r="F21" s="1758">
        <f>H21+AB22</f>
        <v>76356</v>
      </c>
      <c r="G21" s="1749">
        <f>F21/E21</f>
        <v>2.224825174825175</v>
      </c>
      <c r="H21" s="1747">
        <v>5669</v>
      </c>
      <c r="I21" s="1751">
        <f>H21/E21*100</f>
        <v>16.518065268065268</v>
      </c>
      <c r="J21" s="867">
        <f t="shared" si="2"/>
        <v>28</v>
      </c>
      <c r="K21" s="870" t="s">
        <v>185</v>
      </c>
      <c r="L21" s="871">
        <v>2</v>
      </c>
      <c r="M21" s="870" t="s">
        <v>185</v>
      </c>
      <c r="N21" s="871">
        <v>1</v>
      </c>
      <c r="O21" s="870" t="s">
        <v>185</v>
      </c>
      <c r="P21" s="871">
        <v>6</v>
      </c>
      <c r="Q21" s="870" t="s">
        <v>185</v>
      </c>
      <c r="R21" s="871">
        <v>1</v>
      </c>
      <c r="S21" s="870" t="s">
        <v>185</v>
      </c>
      <c r="T21" s="871">
        <v>0</v>
      </c>
      <c r="U21" s="870" t="s">
        <v>185</v>
      </c>
      <c r="V21" s="871">
        <v>0</v>
      </c>
      <c r="W21" s="870" t="s">
        <v>185</v>
      </c>
      <c r="X21" s="871">
        <v>4</v>
      </c>
      <c r="Y21" s="870" t="s">
        <v>185</v>
      </c>
      <c r="Z21" s="871">
        <v>14</v>
      </c>
      <c r="AA21" s="1203" t="s">
        <v>185</v>
      </c>
      <c r="AB21" s="1209">
        <f t="shared" si="3"/>
        <v>355</v>
      </c>
      <c r="AC21" s="870" t="s">
        <v>186</v>
      </c>
      <c r="AD21" s="871">
        <v>0</v>
      </c>
      <c r="AE21" s="870" t="s">
        <v>186</v>
      </c>
      <c r="AF21" s="871">
        <v>0</v>
      </c>
      <c r="AG21" s="870" t="s">
        <v>186</v>
      </c>
      <c r="AH21" s="871">
        <v>0</v>
      </c>
      <c r="AI21" s="870" t="s">
        <v>186</v>
      </c>
      <c r="AJ21" s="871">
        <v>3</v>
      </c>
      <c r="AK21" s="870" t="s">
        <v>186</v>
      </c>
      <c r="AL21" s="871">
        <v>5</v>
      </c>
      <c r="AM21" s="870" t="s">
        <v>186</v>
      </c>
      <c r="AN21" s="871">
        <v>347</v>
      </c>
      <c r="AO21" s="870" t="s">
        <v>186</v>
      </c>
      <c r="AP21" s="1775">
        <v>0</v>
      </c>
    </row>
    <row r="22" spans="1:42" ht="25.5" customHeight="1">
      <c r="A22" s="1742"/>
      <c r="B22" s="1332"/>
      <c r="C22" s="1333"/>
      <c r="D22" s="1747"/>
      <c r="E22" s="1748"/>
      <c r="F22" s="1748"/>
      <c r="G22" s="1749"/>
      <c r="H22" s="1747"/>
      <c r="I22" s="1751"/>
      <c r="J22" s="869">
        <f t="shared" si="2"/>
        <v>1266</v>
      </c>
      <c r="K22" s="870" t="s">
        <v>187</v>
      </c>
      <c r="L22" s="871">
        <v>6</v>
      </c>
      <c r="M22" s="870" t="s">
        <v>187</v>
      </c>
      <c r="N22" s="871">
        <v>45</v>
      </c>
      <c r="O22" s="870" t="s">
        <v>187</v>
      </c>
      <c r="P22" s="871">
        <v>67</v>
      </c>
      <c r="Q22" s="870" t="s">
        <v>187</v>
      </c>
      <c r="R22" s="871">
        <v>1123</v>
      </c>
      <c r="S22" s="870" t="s">
        <v>187</v>
      </c>
      <c r="T22" s="871">
        <v>0</v>
      </c>
      <c r="U22" s="870" t="s">
        <v>187</v>
      </c>
      <c r="V22" s="871">
        <v>0</v>
      </c>
      <c r="W22" s="870" t="s">
        <v>187</v>
      </c>
      <c r="X22" s="871">
        <v>8</v>
      </c>
      <c r="Y22" s="870" t="s">
        <v>187</v>
      </c>
      <c r="Z22" s="871">
        <v>17</v>
      </c>
      <c r="AA22" s="1203" t="s">
        <v>187</v>
      </c>
      <c r="AB22" s="1210">
        <f t="shared" si="3"/>
        <v>70687</v>
      </c>
      <c r="AC22" s="870" t="s">
        <v>188</v>
      </c>
      <c r="AD22" s="871">
        <v>0</v>
      </c>
      <c r="AE22" s="870" t="s">
        <v>188</v>
      </c>
      <c r="AF22" s="871">
        <v>0</v>
      </c>
      <c r="AG22" s="870" t="s">
        <v>188</v>
      </c>
      <c r="AH22" s="871">
        <v>0</v>
      </c>
      <c r="AI22" s="870" t="s">
        <v>188</v>
      </c>
      <c r="AJ22" s="871">
        <v>2071</v>
      </c>
      <c r="AK22" s="870" t="s">
        <v>188</v>
      </c>
      <c r="AL22" s="871">
        <v>3730</v>
      </c>
      <c r="AM22" s="870" t="s">
        <v>188</v>
      </c>
      <c r="AN22" s="871">
        <v>64886</v>
      </c>
      <c r="AO22" s="870" t="s">
        <v>188</v>
      </c>
      <c r="AP22" s="1753"/>
    </row>
    <row r="23" spans="1:42" ht="25.5" customHeight="1">
      <c r="A23" s="1742"/>
      <c r="B23" s="1778" t="s">
        <v>42</v>
      </c>
      <c r="C23" s="1333"/>
      <c r="D23" s="1747">
        <v>5</v>
      </c>
      <c r="E23" s="1756">
        <v>8024</v>
      </c>
      <c r="F23" s="1758">
        <f>H23+AB24</f>
        <v>24783</v>
      </c>
      <c r="G23" s="1749">
        <f>F23/E23</f>
        <v>3.088609172482552</v>
      </c>
      <c r="H23" s="1747">
        <v>356</v>
      </c>
      <c r="I23" s="1751">
        <f>H23/E23*100</f>
        <v>4.436689930209372</v>
      </c>
      <c r="J23" s="867">
        <f t="shared" si="2"/>
        <v>11</v>
      </c>
      <c r="K23" s="873" t="s">
        <v>185</v>
      </c>
      <c r="L23" s="868">
        <v>0</v>
      </c>
      <c r="M23" s="873" t="s">
        <v>185</v>
      </c>
      <c r="N23" s="868">
        <v>0</v>
      </c>
      <c r="O23" s="873" t="s">
        <v>185</v>
      </c>
      <c r="P23" s="868">
        <v>0</v>
      </c>
      <c r="Q23" s="873" t="s">
        <v>185</v>
      </c>
      <c r="R23" s="868">
        <v>0</v>
      </c>
      <c r="S23" s="873" t="s">
        <v>185</v>
      </c>
      <c r="T23" s="868">
        <v>0</v>
      </c>
      <c r="U23" s="873" t="s">
        <v>185</v>
      </c>
      <c r="V23" s="868">
        <v>0</v>
      </c>
      <c r="W23" s="873" t="s">
        <v>185</v>
      </c>
      <c r="X23" s="868">
        <v>0</v>
      </c>
      <c r="Y23" s="873" t="s">
        <v>185</v>
      </c>
      <c r="Z23" s="868">
        <v>11</v>
      </c>
      <c r="AA23" s="1204" t="s">
        <v>185</v>
      </c>
      <c r="AB23" s="1209">
        <f t="shared" si="3"/>
        <v>136</v>
      </c>
      <c r="AC23" s="873" t="s">
        <v>186</v>
      </c>
      <c r="AD23" s="868">
        <v>1</v>
      </c>
      <c r="AE23" s="873" t="s">
        <v>186</v>
      </c>
      <c r="AF23" s="868">
        <v>0</v>
      </c>
      <c r="AG23" s="873" t="s">
        <v>186</v>
      </c>
      <c r="AH23" s="868">
        <v>2</v>
      </c>
      <c r="AI23" s="873" t="s">
        <v>186</v>
      </c>
      <c r="AJ23" s="868">
        <v>5</v>
      </c>
      <c r="AK23" s="873" t="s">
        <v>186</v>
      </c>
      <c r="AL23" s="868">
        <v>8</v>
      </c>
      <c r="AM23" s="873" t="s">
        <v>186</v>
      </c>
      <c r="AN23" s="868">
        <v>120</v>
      </c>
      <c r="AO23" s="873" t="s">
        <v>186</v>
      </c>
      <c r="AP23" s="1753">
        <v>0</v>
      </c>
    </row>
    <row r="24" spans="1:42" ht="25.5" customHeight="1">
      <c r="A24" s="1742"/>
      <c r="B24" s="1332"/>
      <c r="C24" s="1333"/>
      <c r="D24" s="1747"/>
      <c r="E24" s="1748"/>
      <c r="F24" s="1748"/>
      <c r="G24" s="1749"/>
      <c r="H24" s="1747"/>
      <c r="I24" s="1751"/>
      <c r="J24" s="869">
        <f t="shared" si="2"/>
        <v>41</v>
      </c>
      <c r="K24" s="874" t="s">
        <v>187</v>
      </c>
      <c r="L24" s="872">
        <v>0</v>
      </c>
      <c r="M24" s="874" t="s">
        <v>187</v>
      </c>
      <c r="N24" s="872">
        <v>0</v>
      </c>
      <c r="O24" s="874" t="s">
        <v>187</v>
      </c>
      <c r="P24" s="872">
        <v>0</v>
      </c>
      <c r="Q24" s="874" t="s">
        <v>187</v>
      </c>
      <c r="R24" s="872">
        <v>0</v>
      </c>
      <c r="S24" s="874" t="s">
        <v>187</v>
      </c>
      <c r="T24" s="872">
        <v>0</v>
      </c>
      <c r="U24" s="874" t="s">
        <v>187</v>
      </c>
      <c r="V24" s="872">
        <v>0</v>
      </c>
      <c r="W24" s="874" t="s">
        <v>187</v>
      </c>
      <c r="X24" s="872">
        <v>0</v>
      </c>
      <c r="Y24" s="874" t="s">
        <v>187</v>
      </c>
      <c r="Z24" s="872">
        <v>41</v>
      </c>
      <c r="AA24" s="1205" t="s">
        <v>187</v>
      </c>
      <c r="AB24" s="1210">
        <f t="shared" si="3"/>
        <v>24427</v>
      </c>
      <c r="AC24" s="874" t="s">
        <v>188</v>
      </c>
      <c r="AD24" s="872">
        <v>1136</v>
      </c>
      <c r="AE24" s="874" t="s">
        <v>188</v>
      </c>
      <c r="AF24" s="872">
        <v>0</v>
      </c>
      <c r="AG24" s="874" t="s">
        <v>188</v>
      </c>
      <c r="AH24" s="872">
        <v>80</v>
      </c>
      <c r="AI24" s="874" t="s">
        <v>188</v>
      </c>
      <c r="AJ24" s="872">
        <v>280</v>
      </c>
      <c r="AK24" s="874" t="s">
        <v>188</v>
      </c>
      <c r="AL24" s="872">
        <v>610</v>
      </c>
      <c r="AM24" s="874" t="s">
        <v>188</v>
      </c>
      <c r="AN24" s="872">
        <v>22321</v>
      </c>
      <c r="AO24" s="874" t="s">
        <v>188</v>
      </c>
      <c r="AP24" s="1775"/>
    </row>
    <row r="25" spans="1:42" ht="25.5" customHeight="1">
      <c r="A25" s="1742"/>
      <c r="B25" s="1332" t="s">
        <v>51</v>
      </c>
      <c r="C25" s="1333" t="s">
        <v>24</v>
      </c>
      <c r="D25" s="1747">
        <v>4</v>
      </c>
      <c r="E25" s="1756">
        <v>29950</v>
      </c>
      <c r="F25" s="1758">
        <f>H25+AB26</f>
        <v>33355</v>
      </c>
      <c r="G25" s="1749">
        <f>F25/E25</f>
        <v>1.1136894824707846</v>
      </c>
      <c r="H25" s="1747">
        <v>4875</v>
      </c>
      <c r="I25" s="1751">
        <f>H25/E25*100</f>
        <v>16.2771285475793</v>
      </c>
      <c r="J25" s="867">
        <f t="shared" si="2"/>
        <v>27</v>
      </c>
      <c r="K25" s="870" t="s">
        <v>185</v>
      </c>
      <c r="L25" s="871">
        <v>3</v>
      </c>
      <c r="M25" s="870" t="s">
        <v>185</v>
      </c>
      <c r="N25" s="871">
        <v>0</v>
      </c>
      <c r="O25" s="870" t="s">
        <v>185</v>
      </c>
      <c r="P25" s="871">
        <v>4</v>
      </c>
      <c r="Q25" s="870" t="s">
        <v>185</v>
      </c>
      <c r="R25" s="871">
        <v>3</v>
      </c>
      <c r="S25" s="870" t="s">
        <v>185</v>
      </c>
      <c r="T25" s="871">
        <v>3</v>
      </c>
      <c r="U25" s="870" t="s">
        <v>185</v>
      </c>
      <c r="V25" s="871">
        <v>0</v>
      </c>
      <c r="W25" s="870" t="s">
        <v>185</v>
      </c>
      <c r="X25" s="871">
        <v>0</v>
      </c>
      <c r="Y25" s="870" t="s">
        <v>185</v>
      </c>
      <c r="Z25" s="871">
        <v>14</v>
      </c>
      <c r="AA25" s="1203" t="s">
        <v>185</v>
      </c>
      <c r="AB25" s="1209">
        <f t="shared" si="3"/>
        <v>1971</v>
      </c>
      <c r="AC25" s="870" t="s">
        <v>186</v>
      </c>
      <c r="AD25" s="871">
        <v>307</v>
      </c>
      <c r="AE25" s="870" t="s">
        <v>186</v>
      </c>
      <c r="AF25" s="871">
        <v>10</v>
      </c>
      <c r="AG25" s="870" t="s">
        <v>186</v>
      </c>
      <c r="AH25" s="871">
        <v>124</v>
      </c>
      <c r="AI25" s="870" t="s">
        <v>186</v>
      </c>
      <c r="AJ25" s="871">
        <v>733</v>
      </c>
      <c r="AK25" s="870" t="s">
        <v>186</v>
      </c>
      <c r="AL25" s="871">
        <v>605</v>
      </c>
      <c r="AM25" s="870" t="s">
        <v>186</v>
      </c>
      <c r="AN25" s="871">
        <v>192</v>
      </c>
      <c r="AO25" s="870" t="s">
        <v>186</v>
      </c>
      <c r="AP25" s="1775">
        <v>0</v>
      </c>
    </row>
    <row r="26" spans="1:42" ht="25.5" customHeight="1">
      <c r="A26" s="1742"/>
      <c r="B26" s="1332"/>
      <c r="C26" s="1333"/>
      <c r="D26" s="1747"/>
      <c r="E26" s="1748"/>
      <c r="F26" s="1748"/>
      <c r="G26" s="1749"/>
      <c r="H26" s="1747"/>
      <c r="I26" s="1751"/>
      <c r="J26" s="869">
        <f t="shared" si="2"/>
        <v>137</v>
      </c>
      <c r="K26" s="870" t="s">
        <v>187</v>
      </c>
      <c r="L26" s="871">
        <v>22</v>
      </c>
      <c r="M26" s="870" t="s">
        <v>187</v>
      </c>
      <c r="N26" s="871">
        <v>0</v>
      </c>
      <c r="O26" s="870" t="s">
        <v>187</v>
      </c>
      <c r="P26" s="871">
        <v>9</v>
      </c>
      <c r="Q26" s="870" t="s">
        <v>187</v>
      </c>
      <c r="R26" s="871">
        <v>58</v>
      </c>
      <c r="S26" s="870" t="s">
        <v>187</v>
      </c>
      <c r="T26" s="871">
        <v>3</v>
      </c>
      <c r="U26" s="870" t="s">
        <v>187</v>
      </c>
      <c r="V26" s="871">
        <v>0</v>
      </c>
      <c r="W26" s="870" t="s">
        <v>187</v>
      </c>
      <c r="X26" s="871">
        <v>0</v>
      </c>
      <c r="Y26" s="870" t="s">
        <v>187</v>
      </c>
      <c r="Z26" s="871">
        <v>45</v>
      </c>
      <c r="AA26" s="1203" t="s">
        <v>187</v>
      </c>
      <c r="AB26" s="1210">
        <f t="shared" si="3"/>
        <v>28480</v>
      </c>
      <c r="AC26" s="870" t="s">
        <v>188</v>
      </c>
      <c r="AD26" s="871">
        <v>6017</v>
      </c>
      <c r="AE26" s="870" t="s">
        <v>188</v>
      </c>
      <c r="AF26" s="871">
        <v>115</v>
      </c>
      <c r="AG26" s="870" t="s">
        <v>188</v>
      </c>
      <c r="AH26" s="871">
        <v>1445</v>
      </c>
      <c r="AI26" s="870" t="s">
        <v>188</v>
      </c>
      <c r="AJ26" s="871">
        <v>7772</v>
      </c>
      <c r="AK26" s="870" t="s">
        <v>188</v>
      </c>
      <c r="AL26" s="871">
        <v>9484</v>
      </c>
      <c r="AM26" s="870" t="s">
        <v>188</v>
      </c>
      <c r="AN26" s="871">
        <v>3647</v>
      </c>
      <c r="AO26" s="870" t="s">
        <v>188</v>
      </c>
      <c r="AP26" s="1753"/>
    </row>
    <row r="27" spans="1:42" ht="25.5" customHeight="1">
      <c r="A27" s="1742"/>
      <c r="B27" s="1332" t="s">
        <v>52</v>
      </c>
      <c r="C27" s="1333" t="s">
        <v>24</v>
      </c>
      <c r="D27" s="1747">
        <v>4</v>
      </c>
      <c r="E27" s="1756">
        <v>21067</v>
      </c>
      <c r="F27" s="1756">
        <f>H27+AB28</f>
        <v>34389</v>
      </c>
      <c r="G27" s="1749">
        <f>F27/E27</f>
        <v>1.6323634119713295</v>
      </c>
      <c r="H27" s="1747">
        <v>5077</v>
      </c>
      <c r="I27" s="1751">
        <f>H27/E27*100</f>
        <v>24.0993022262306</v>
      </c>
      <c r="J27" s="867">
        <f t="shared" si="2"/>
        <v>20</v>
      </c>
      <c r="K27" s="873" t="s">
        <v>185</v>
      </c>
      <c r="L27" s="868">
        <v>0</v>
      </c>
      <c r="M27" s="873" t="s">
        <v>185</v>
      </c>
      <c r="N27" s="868">
        <v>0</v>
      </c>
      <c r="O27" s="873" t="s">
        <v>185</v>
      </c>
      <c r="P27" s="868">
        <v>8</v>
      </c>
      <c r="Q27" s="873" t="s">
        <v>185</v>
      </c>
      <c r="R27" s="868">
        <v>0</v>
      </c>
      <c r="S27" s="873" t="s">
        <v>185</v>
      </c>
      <c r="T27" s="868">
        <v>3</v>
      </c>
      <c r="U27" s="873" t="s">
        <v>185</v>
      </c>
      <c r="V27" s="868">
        <v>0</v>
      </c>
      <c r="W27" s="873" t="s">
        <v>185</v>
      </c>
      <c r="X27" s="868">
        <v>1</v>
      </c>
      <c r="Y27" s="873" t="s">
        <v>185</v>
      </c>
      <c r="Z27" s="868">
        <v>8</v>
      </c>
      <c r="AA27" s="1204" t="s">
        <v>185</v>
      </c>
      <c r="AB27" s="1209">
        <f t="shared" si="3"/>
        <v>1543</v>
      </c>
      <c r="AC27" s="873" t="s">
        <v>186</v>
      </c>
      <c r="AD27" s="868">
        <v>33</v>
      </c>
      <c r="AE27" s="873" t="s">
        <v>186</v>
      </c>
      <c r="AF27" s="868">
        <v>24</v>
      </c>
      <c r="AG27" s="873" t="s">
        <v>186</v>
      </c>
      <c r="AH27" s="868">
        <v>27</v>
      </c>
      <c r="AI27" s="873" t="s">
        <v>186</v>
      </c>
      <c r="AJ27" s="868">
        <v>2</v>
      </c>
      <c r="AK27" s="873" t="s">
        <v>186</v>
      </c>
      <c r="AL27" s="868">
        <v>158</v>
      </c>
      <c r="AM27" s="873" t="s">
        <v>186</v>
      </c>
      <c r="AN27" s="868">
        <v>1299</v>
      </c>
      <c r="AO27" s="873" t="s">
        <v>186</v>
      </c>
      <c r="AP27" s="1757">
        <v>12</v>
      </c>
    </row>
    <row r="28" spans="1:42" ht="25.5" customHeight="1" thickBot="1">
      <c r="A28" s="1742"/>
      <c r="B28" s="1779"/>
      <c r="C28" s="1780"/>
      <c r="D28" s="1763"/>
      <c r="E28" s="1764"/>
      <c r="F28" s="1764"/>
      <c r="G28" s="1765"/>
      <c r="H28" s="1763"/>
      <c r="I28" s="1766"/>
      <c r="J28" s="1198">
        <f t="shared" si="2"/>
        <v>216</v>
      </c>
      <c r="K28" s="1199" t="s">
        <v>187</v>
      </c>
      <c r="L28" s="1200">
        <v>0</v>
      </c>
      <c r="M28" s="1199" t="s">
        <v>187</v>
      </c>
      <c r="N28" s="1200">
        <v>0</v>
      </c>
      <c r="O28" s="1199" t="s">
        <v>187</v>
      </c>
      <c r="P28" s="1200">
        <v>22</v>
      </c>
      <c r="Q28" s="1199" t="s">
        <v>187</v>
      </c>
      <c r="R28" s="1200">
        <v>0</v>
      </c>
      <c r="S28" s="1199" t="s">
        <v>187</v>
      </c>
      <c r="T28" s="1200">
        <v>3</v>
      </c>
      <c r="U28" s="1199" t="s">
        <v>187</v>
      </c>
      <c r="V28" s="1200">
        <v>0</v>
      </c>
      <c r="W28" s="1199" t="s">
        <v>187</v>
      </c>
      <c r="X28" s="1200">
        <v>1</v>
      </c>
      <c r="Y28" s="1199" t="s">
        <v>187</v>
      </c>
      <c r="Z28" s="1200">
        <v>190</v>
      </c>
      <c r="AA28" s="1206" t="s">
        <v>187</v>
      </c>
      <c r="AB28" s="1211">
        <f t="shared" si="3"/>
        <v>29312</v>
      </c>
      <c r="AC28" s="1199" t="s">
        <v>188</v>
      </c>
      <c r="AD28" s="1200">
        <v>564</v>
      </c>
      <c r="AE28" s="1199" t="s">
        <v>188</v>
      </c>
      <c r="AF28" s="1200">
        <v>482</v>
      </c>
      <c r="AG28" s="1199" t="s">
        <v>188</v>
      </c>
      <c r="AH28" s="1200">
        <v>1535</v>
      </c>
      <c r="AI28" s="1199" t="s">
        <v>188</v>
      </c>
      <c r="AJ28" s="1200">
        <v>70</v>
      </c>
      <c r="AK28" s="1199" t="s">
        <v>188</v>
      </c>
      <c r="AL28" s="1200">
        <v>2698</v>
      </c>
      <c r="AM28" s="1199" t="s">
        <v>188</v>
      </c>
      <c r="AN28" s="1200">
        <v>23963</v>
      </c>
      <c r="AO28" s="1199" t="s">
        <v>188</v>
      </c>
      <c r="AP28" s="1767"/>
    </row>
    <row r="29" spans="1:42" ht="25.5" customHeight="1" thickTop="1">
      <c r="A29" s="1742"/>
      <c r="B29" s="1781" t="s">
        <v>20</v>
      </c>
      <c r="C29" s="1676"/>
      <c r="D29" s="1748">
        <f>SUM(D17:D28)</f>
        <v>63</v>
      </c>
      <c r="E29" s="1758">
        <f>SUM(E17:E28)</f>
        <v>642336</v>
      </c>
      <c r="F29" s="1748">
        <f>SUM(F17:F28)</f>
        <v>719815</v>
      </c>
      <c r="G29" s="1771">
        <f>F29/E29</f>
        <v>1.1206206720470284</v>
      </c>
      <c r="H29" s="1748">
        <f>SUM(H17:H28)</f>
        <v>195041</v>
      </c>
      <c r="I29" s="1773">
        <f>H29/E29*100</f>
        <v>30.364326458426742</v>
      </c>
      <c r="J29" s="877">
        <f>SUM(J17,J19,J21,J23,J25,J27)</f>
        <v>901</v>
      </c>
      <c r="K29" s="875" t="s">
        <v>185</v>
      </c>
      <c r="L29" s="871">
        <f>SUM(L17,L19,L21,L23,L25,L27)</f>
        <v>94</v>
      </c>
      <c r="M29" s="870" t="s">
        <v>185</v>
      </c>
      <c r="N29" s="876">
        <f>SUM(N17,N19,N21,N23,N25,N27)</f>
        <v>39</v>
      </c>
      <c r="O29" s="875" t="s">
        <v>185</v>
      </c>
      <c r="P29" s="871">
        <f>SUM(P17,P19,P21,P23,P25,P27)</f>
        <v>137</v>
      </c>
      <c r="Q29" s="875" t="s">
        <v>185</v>
      </c>
      <c r="R29" s="871">
        <f>SUM(R17,R19,R21,R23,R25,R27)</f>
        <v>94</v>
      </c>
      <c r="S29" s="870" t="s">
        <v>185</v>
      </c>
      <c r="T29" s="871">
        <f>SUM(T17,T19,T21,T23,T25,T27)</f>
        <v>161</v>
      </c>
      <c r="U29" s="870" t="s">
        <v>185</v>
      </c>
      <c r="V29" s="871">
        <f>SUM(V17,V19,V21,V23,V25,V27)</f>
        <v>18</v>
      </c>
      <c r="W29" s="870" t="s">
        <v>185</v>
      </c>
      <c r="X29" s="871">
        <f>SUM(X17,X19,X21,X23,X25,X27)</f>
        <v>58</v>
      </c>
      <c r="Y29" s="870" t="s">
        <v>185</v>
      </c>
      <c r="Z29" s="876">
        <f>SUM(Z17,Z19,Z21,Z23,Z25,Z27)</f>
        <v>300</v>
      </c>
      <c r="AA29" s="1203" t="s">
        <v>185</v>
      </c>
      <c r="AB29" s="1212">
        <f>SUM(AB17,AB19,AB21,AB23,AB25,AB27)</f>
        <v>8183</v>
      </c>
      <c r="AC29" s="870" t="s">
        <v>186</v>
      </c>
      <c r="AD29" s="876">
        <f>SUM(AD17,AD19,AD21,AD23,AD25,AD27)</f>
        <v>904</v>
      </c>
      <c r="AE29" s="875" t="s">
        <v>186</v>
      </c>
      <c r="AF29" s="871">
        <f>SUM(AF17,AF19,AF21,AF23,AF25,AF27)</f>
        <v>84</v>
      </c>
      <c r="AG29" s="870" t="s">
        <v>186</v>
      </c>
      <c r="AH29" s="876">
        <f>SUM(AH17,AH19,AH21,AH23,AH25,AH27)</f>
        <v>506</v>
      </c>
      <c r="AI29" s="875" t="s">
        <v>186</v>
      </c>
      <c r="AJ29" s="871">
        <f>SUM(AJ17,AJ19,AJ21,AJ23,AJ25,AJ27)</f>
        <v>2041</v>
      </c>
      <c r="AK29" s="870" t="s">
        <v>186</v>
      </c>
      <c r="AL29" s="876">
        <f>SUM(AL17,AL19,AL21,AL23,AL25,AL27)</f>
        <v>1148</v>
      </c>
      <c r="AM29" s="875" t="s">
        <v>186</v>
      </c>
      <c r="AN29" s="871">
        <f>SUM(AN17,AN19,AN21,AN23,AN25,AN27)</f>
        <v>3500</v>
      </c>
      <c r="AO29" s="870" t="s">
        <v>186</v>
      </c>
      <c r="AP29" s="1775">
        <f>SUM(AP17:AP28)</f>
        <v>698</v>
      </c>
    </row>
    <row r="30" spans="1:42" ht="25.5" customHeight="1" thickBot="1">
      <c r="A30" s="1743"/>
      <c r="B30" s="1653"/>
      <c r="C30" s="1723"/>
      <c r="D30" s="1770"/>
      <c r="E30" s="1734"/>
      <c r="F30" s="1770"/>
      <c r="G30" s="1749"/>
      <c r="H30" s="1770"/>
      <c r="I30" s="1774"/>
      <c r="J30" s="862">
        <f>SUM(J18,J20,J22,J24,J26,J28)</f>
        <v>4832</v>
      </c>
      <c r="K30" s="878" t="s">
        <v>187</v>
      </c>
      <c r="L30" s="864">
        <f>SUM(L18,L20,L22,L24,L26,L28)</f>
        <v>663</v>
      </c>
      <c r="M30" s="865" t="s">
        <v>187</v>
      </c>
      <c r="N30" s="866">
        <f>SUM(N18,N20,N22,N24,N26,N28)</f>
        <v>221</v>
      </c>
      <c r="O30" s="878" t="s">
        <v>187</v>
      </c>
      <c r="P30" s="864">
        <f>SUM(P18,P20,P22,P24,P26,P28)</f>
        <v>474</v>
      </c>
      <c r="Q30" s="878" t="s">
        <v>187</v>
      </c>
      <c r="R30" s="864">
        <f>SUM(R18,R20,R22,R24,R26,R28)</f>
        <v>1415</v>
      </c>
      <c r="S30" s="865" t="s">
        <v>187</v>
      </c>
      <c r="T30" s="864">
        <f>SUM(T18,T20,T22,T24,T26,T28)</f>
        <v>190</v>
      </c>
      <c r="U30" s="865" t="s">
        <v>187</v>
      </c>
      <c r="V30" s="864">
        <f>SUM(V18,V20,V22,V24,V26,V28)</f>
        <v>74</v>
      </c>
      <c r="W30" s="865" t="s">
        <v>187</v>
      </c>
      <c r="X30" s="864">
        <f>SUM(X18,X20,X22,X24,X26,X28)</f>
        <v>166</v>
      </c>
      <c r="Y30" s="865" t="s">
        <v>187</v>
      </c>
      <c r="Z30" s="866">
        <f>SUM(Z18,Z20,Z22,Z24,Z26,Z28)</f>
        <v>1629</v>
      </c>
      <c r="AA30" s="1205" t="s">
        <v>187</v>
      </c>
      <c r="AB30" s="1208">
        <f>SUM(AB18,AB20,AB22,AB24,AB26,AB28)</f>
        <v>524774</v>
      </c>
      <c r="AC30" s="865" t="s">
        <v>188</v>
      </c>
      <c r="AD30" s="866">
        <f>SUM(AD18,AD20,AD22,AD24,AD26,AD28)</f>
        <v>65568</v>
      </c>
      <c r="AE30" s="863" t="s">
        <v>188</v>
      </c>
      <c r="AF30" s="864">
        <f>SUM(AF18,AF20,AF22,AF24,AF26,AF28)</f>
        <v>7210</v>
      </c>
      <c r="AG30" s="865" t="s">
        <v>188</v>
      </c>
      <c r="AH30" s="866">
        <f>SUM(AH18,AH20,AH22,AH24,AH26,AH28)</f>
        <v>24831</v>
      </c>
      <c r="AI30" s="875" t="s">
        <v>188</v>
      </c>
      <c r="AJ30" s="864">
        <f>SUM(AJ18,AJ20,AJ22,AJ24,AJ26,AJ28)</f>
        <v>95144</v>
      </c>
      <c r="AK30" s="865" t="s">
        <v>188</v>
      </c>
      <c r="AL30" s="866">
        <f>SUM(AL18,AL20,AL22,AL24,AL26,AL28)</f>
        <v>72997</v>
      </c>
      <c r="AM30" s="875" t="s">
        <v>188</v>
      </c>
      <c r="AN30" s="864">
        <f>SUM(AN18,AN20,AN22,AN24,AN26,AN28)</f>
        <v>259024</v>
      </c>
      <c r="AO30" s="865" t="s">
        <v>188</v>
      </c>
      <c r="AP30" s="1776"/>
    </row>
    <row r="31" spans="1:42" ht="25.5" customHeight="1">
      <c r="A31" s="1741" t="s">
        <v>146</v>
      </c>
      <c r="B31" s="1782" t="s">
        <v>706</v>
      </c>
      <c r="C31" s="1349"/>
      <c r="D31" s="1746">
        <v>18</v>
      </c>
      <c r="E31" s="1733">
        <v>33753</v>
      </c>
      <c r="F31" s="1758">
        <f>H31+AB32</f>
        <v>150484</v>
      </c>
      <c r="G31" s="1777">
        <f>F31/E31</f>
        <v>4.458388883951057</v>
      </c>
      <c r="H31" s="1746">
        <v>44108</v>
      </c>
      <c r="I31" s="1750">
        <f>H31/E31*100</f>
        <v>130.67875448108316</v>
      </c>
      <c r="J31" s="867">
        <f aca="true" t="shared" si="4" ref="J31:J48">SUM(L31,N31,P31,R31,Z31,T31,V31,X31)</f>
        <v>419</v>
      </c>
      <c r="K31" s="860" t="s">
        <v>185</v>
      </c>
      <c r="L31" s="859">
        <v>50</v>
      </c>
      <c r="M31" s="860" t="s">
        <v>185</v>
      </c>
      <c r="N31" s="859">
        <v>36</v>
      </c>
      <c r="O31" s="860" t="s">
        <v>185</v>
      </c>
      <c r="P31" s="859">
        <v>58</v>
      </c>
      <c r="Q31" s="860" t="s">
        <v>185</v>
      </c>
      <c r="R31" s="859">
        <v>49</v>
      </c>
      <c r="S31" s="860" t="s">
        <v>185</v>
      </c>
      <c r="T31" s="859">
        <v>48</v>
      </c>
      <c r="U31" s="860" t="s">
        <v>185</v>
      </c>
      <c r="V31" s="859">
        <v>20</v>
      </c>
      <c r="W31" s="860" t="s">
        <v>185</v>
      </c>
      <c r="X31" s="859">
        <v>27</v>
      </c>
      <c r="Y31" s="860" t="s">
        <v>185</v>
      </c>
      <c r="Z31" s="859">
        <v>131</v>
      </c>
      <c r="AA31" s="1201" t="s">
        <v>185</v>
      </c>
      <c r="AB31" s="1209">
        <f aca="true" t="shared" si="5" ref="AB31:AB48">SUM(AD31,AF31,AH31,AJ31,AL31,AN31)</f>
        <v>828</v>
      </c>
      <c r="AC31" s="870" t="s">
        <v>186</v>
      </c>
      <c r="AD31" s="859">
        <v>95</v>
      </c>
      <c r="AE31" s="860" t="s">
        <v>186</v>
      </c>
      <c r="AF31" s="859">
        <v>17</v>
      </c>
      <c r="AG31" s="860" t="s">
        <v>186</v>
      </c>
      <c r="AH31" s="859">
        <v>102</v>
      </c>
      <c r="AI31" s="860" t="s">
        <v>186</v>
      </c>
      <c r="AJ31" s="859">
        <v>172</v>
      </c>
      <c r="AK31" s="860" t="s">
        <v>186</v>
      </c>
      <c r="AL31" s="859">
        <v>120</v>
      </c>
      <c r="AM31" s="860" t="s">
        <v>186</v>
      </c>
      <c r="AN31" s="859">
        <v>322</v>
      </c>
      <c r="AO31" s="860" t="s">
        <v>186</v>
      </c>
      <c r="AP31" s="1752">
        <v>79</v>
      </c>
    </row>
    <row r="32" spans="1:42" ht="25.5" customHeight="1">
      <c r="A32" s="1742"/>
      <c r="B32" s="1332"/>
      <c r="C32" s="1333"/>
      <c r="D32" s="1747"/>
      <c r="E32" s="1748"/>
      <c r="F32" s="1748"/>
      <c r="G32" s="1749"/>
      <c r="H32" s="1747"/>
      <c r="I32" s="1751"/>
      <c r="J32" s="869">
        <f t="shared" si="4"/>
        <v>1298</v>
      </c>
      <c r="K32" s="870" t="s">
        <v>187</v>
      </c>
      <c r="L32" s="871">
        <v>188</v>
      </c>
      <c r="M32" s="870" t="s">
        <v>187</v>
      </c>
      <c r="N32" s="871">
        <v>66</v>
      </c>
      <c r="O32" s="870" t="s">
        <v>187</v>
      </c>
      <c r="P32" s="871">
        <v>86</v>
      </c>
      <c r="Q32" s="870" t="s">
        <v>187</v>
      </c>
      <c r="R32" s="871">
        <v>120</v>
      </c>
      <c r="S32" s="870" t="s">
        <v>187</v>
      </c>
      <c r="T32" s="871">
        <v>165</v>
      </c>
      <c r="U32" s="870" t="s">
        <v>187</v>
      </c>
      <c r="V32" s="871">
        <v>21</v>
      </c>
      <c r="W32" s="870" t="s">
        <v>187</v>
      </c>
      <c r="X32" s="871">
        <v>37</v>
      </c>
      <c r="Y32" s="870" t="s">
        <v>187</v>
      </c>
      <c r="Z32" s="871">
        <v>615</v>
      </c>
      <c r="AA32" s="1205" t="s">
        <v>187</v>
      </c>
      <c r="AB32" s="1210">
        <f t="shared" si="5"/>
        <v>106376</v>
      </c>
      <c r="AC32" s="874" t="s">
        <v>188</v>
      </c>
      <c r="AD32" s="872">
        <v>12891</v>
      </c>
      <c r="AE32" s="874" t="s">
        <v>188</v>
      </c>
      <c r="AF32" s="872">
        <v>1334</v>
      </c>
      <c r="AG32" s="874" t="s">
        <v>188</v>
      </c>
      <c r="AH32" s="872">
        <v>7745</v>
      </c>
      <c r="AI32" s="874" t="s">
        <v>188</v>
      </c>
      <c r="AJ32" s="872">
        <v>20127</v>
      </c>
      <c r="AK32" s="874" t="s">
        <v>188</v>
      </c>
      <c r="AL32" s="872">
        <v>21118</v>
      </c>
      <c r="AM32" s="874" t="s">
        <v>188</v>
      </c>
      <c r="AN32" s="872">
        <v>43161</v>
      </c>
      <c r="AO32" s="874" t="s">
        <v>188</v>
      </c>
      <c r="AP32" s="1757"/>
    </row>
    <row r="33" spans="1:42" ht="25.5" customHeight="1">
      <c r="A33" s="1742"/>
      <c r="B33" s="1332" t="s">
        <v>26</v>
      </c>
      <c r="C33" s="1333"/>
      <c r="D33" s="1747">
        <v>24</v>
      </c>
      <c r="E33" s="1756">
        <v>42909</v>
      </c>
      <c r="F33" s="1758">
        <f>H33+AB34</f>
        <v>160520</v>
      </c>
      <c r="G33" s="1749">
        <f>F33/E33</f>
        <v>3.740940129110443</v>
      </c>
      <c r="H33" s="1747">
        <v>35012</v>
      </c>
      <c r="I33" s="1751">
        <f>H33/E33*100</f>
        <v>81.5959355846093</v>
      </c>
      <c r="J33" s="867">
        <f t="shared" si="4"/>
        <v>277</v>
      </c>
      <c r="K33" s="873" t="s">
        <v>185</v>
      </c>
      <c r="L33" s="868">
        <v>19</v>
      </c>
      <c r="M33" s="873" t="s">
        <v>185</v>
      </c>
      <c r="N33" s="868">
        <v>9</v>
      </c>
      <c r="O33" s="873" t="s">
        <v>185</v>
      </c>
      <c r="P33" s="868">
        <v>26</v>
      </c>
      <c r="Q33" s="873" t="s">
        <v>185</v>
      </c>
      <c r="R33" s="868">
        <v>15</v>
      </c>
      <c r="S33" s="873" t="s">
        <v>185</v>
      </c>
      <c r="T33" s="868">
        <v>27</v>
      </c>
      <c r="U33" s="873" t="s">
        <v>185</v>
      </c>
      <c r="V33" s="868">
        <v>5</v>
      </c>
      <c r="W33" s="873" t="s">
        <v>185</v>
      </c>
      <c r="X33" s="868">
        <v>13</v>
      </c>
      <c r="Y33" s="873" t="s">
        <v>185</v>
      </c>
      <c r="Z33" s="868">
        <v>163</v>
      </c>
      <c r="AA33" s="1204" t="s">
        <v>185</v>
      </c>
      <c r="AB33" s="1209">
        <f t="shared" si="5"/>
        <v>8109</v>
      </c>
      <c r="AC33" s="870" t="s">
        <v>186</v>
      </c>
      <c r="AD33" s="871">
        <v>813</v>
      </c>
      <c r="AE33" s="870" t="s">
        <v>186</v>
      </c>
      <c r="AF33" s="871">
        <v>168</v>
      </c>
      <c r="AG33" s="870" t="s">
        <v>186</v>
      </c>
      <c r="AH33" s="871">
        <v>433</v>
      </c>
      <c r="AI33" s="870" t="s">
        <v>186</v>
      </c>
      <c r="AJ33" s="871">
        <v>1757</v>
      </c>
      <c r="AK33" s="870" t="s">
        <v>186</v>
      </c>
      <c r="AL33" s="871">
        <v>1170</v>
      </c>
      <c r="AM33" s="870" t="s">
        <v>186</v>
      </c>
      <c r="AN33" s="871">
        <v>3768</v>
      </c>
      <c r="AO33" s="870" t="s">
        <v>186</v>
      </c>
      <c r="AP33" s="1757">
        <v>160</v>
      </c>
    </row>
    <row r="34" spans="1:42" ht="25.5" customHeight="1">
      <c r="A34" s="1742"/>
      <c r="B34" s="1332"/>
      <c r="C34" s="1333"/>
      <c r="D34" s="1747"/>
      <c r="E34" s="1748"/>
      <c r="F34" s="1748"/>
      <c r="G34" s="1749"/>
      <c r="H34" s="1747"/>
      <c r="I34" s="1751"/>
      <c r="J34" s="869">
        <f t="shared" si="4"/>
        <v>1350</v>
      </c>
      <c r="K34" s="874" t="s">
        <v>187</v>
      </c>
      <c r="L34" s="872">
        <v>69</v>
      </c>
      <c r="M34" s="874" t="s">
        <v>187</v>
      </c>
      <c r="N34" s="872">
        <v>22</v>
      </c>
      <c r="O34" s="874" t="s">
        <v>187</v>
      </c>
      <c r="P34" s="872">
        <v>158</v>
      </c>
      <c r="Q34" s="874" t="s">
        <v>187</v>
      </c>
      <c r="R34" s="872">
        <v>33</v>
      </c>
      <c r="S34" s="874" t="s">
        <v>187</v>
      </c>
      <c r="T34" s="872">
        <v>318</v>
      </c>
      <c r="U34" s="874" t="s">
        <v>187</v>
      </c>
      <c r="V34" s="872">
        <v>13</v>
      </c>
      <c r="W34" s="874" t="s">
        <v>187</v>
      </c>
      <c r="X34" s="872">
        <v>49</v>
      </c>
      <c r="Y34" s="874" t="s">
        <v>187</v>
      </c>
      <c r="Z34" s="872">
        <v>688</v>
      </c>
      <c r="AA34" s="1205" t="s">
        <v>187</v>
      </c>
      <c r="AB34" s="1210">
        <f t="shared" si="5"/>
        <v>125508</v>
      </c>
      <c r="AC34" s="874" t="s">
        <v>188</v>
      </c>
      <c r="AD34" s="872">
        <v>13057</v>
      </c>
      <c r="AE34" s="874" t="s">
        <v>188</v>
      </c>
      <c r="AF34" s="872">
        <v>2465</v>
      </c>
      <c r="AG34" s="874" t="s">
        <v>188</v>
      </c>
      <c r="AH34" s="872">
        <v>15434</v>
      </c>
      <c r="AI34" s="874" t="s">
        <v>188</v>
      </c>
      <c r="AJ34" s="872">
        <v>18744</v>
      </c>
      <c r="AK34" s="874" t="s">
        <v>188</v>
      </c>
      <c r="AL34" s="872">
        <v>13195</v>
      </c>
      <c r="AM34" s="874" t="s">
        <v>188</v>
      </c>
      <c r="AN34" s="872">
        <v>62613</v>
      </c>
      <c r="AO34" s="874" t="s">
        <v>188</v>
      </c>
      <c r="AP34" s="1757"/>
    </row>
    <row r="35" spans="1:42" ht="25.5" customHeight="1">
      <c r="A35" s="1742"/>
      <c r="B35" s="1332" t="s">
        <v>43</v>
      </c>
      <c r="C35" s="1333"/>
      <c r="D35" s="1747">
        <v>25</v>
      </c>
      <c r="E35" s="1756">
        <v>37746</v>
      </c>
      <c r="F35" s="1758">
        <f>H35+AB36</f>
        <v>215444</v>
      </c>
      <c r="G35" s="1749">
        <f>F35/E35</f>
        <v>5.707730620463096</v>
      </c>
      <c r="H35" s="1747">
        <v>24097</v>
      </c>
      <c r="I35" s="1751">
        <f>H35/E35*100</f>
        <v>63.83987707306734</v>
      </c>
      <c r="J35" s="867">
        <f t="shared" si="4"/>
        <v>276</v>
      </c>
      <c r="K35" s="870" t="s">
        <v>185</v>
      </c>
      <c r="L35" s="871">
        <v>14</v>
      </c>
      <c r="M35" s="870" t="s">
        <v>185</v>
      </c>
      <c r="N35" s="871">
        <v>10</v>
      </c>
      <c r="O35" s="870" t="s">
        <v>185</v>
      </c>
      <c r="P35" s="871">
        <v>70</v>
      </c>
      <c r="Q35" s="870" t="s">
        <v>185</v>
      </c>
      <c r="R35" s="871">
        <v>21</v>
      </c>
      <c r="S35" s="870" t="s">
        <v>185</v>
      </c>
      <c r="T35" s="871">
        <v>41</v>
      </c>
      <c r="U35" s="870" t="s">
        <v>185</v>
      </c>
      <c r="V35" s="871">
        <v>9</v>
      </c>
      <c r="W35" s="870" t="s">
        <v>185</v>
      </c>
      <c r="X35" s="871">
        <v>8</v>
      </c>
      <c r="Y35" s="870" t="s">
        <v>185</v>
      </c>
      <c r="Z35" s="871">
        <v>103</v>
      </c>
      <c r="AA35" s="1203" t="s">
        <v>185</v>
      </c>
      <c r="AB35" s="1209">
        <f t="shared" si="5"/>
        <v>3634</v>
      </c>
      <c r="AC35" s="870" t="s">
        <v>186</v>
      </c>
      <c r="AD35" s="871">
        <v>103</v>
      </c>
      <c r="AE35" s="870" t="s">
        <v>186</v>
      </c>
      <c r="AF35" s="871">
        <v>39</v>
      </c>
      <c r="AG35" s="870" t="s">
        <v>186</v>
      </c>
      <c r="AH35" s="871">
        <v>299</v>
      </c>
      <c r="AI35" s="870" t="s">
        <v>186</v>
      </c>
      <c r="AJ35" s="871">
        <v>643</v>
      </c>
      <c r="AK35" s="870" t="s">
        <v>186</v>
      </c>
      <c r="AL35" s="871">
        <v>184</v>
      </c>
      <c r="AM35" s="870" t="s">
        <v>186</v>
      </c>
      <c r="AN35" s="871">
        <v>2366</v>
      </c>
      <c r="AO35" s="870" t="s">
        <v>186</v>
      </c>
      <c r="AP35" s="1757">
        <v>264</v>
      </c>
    </row>
    <row r="36" spans="1:42" ht="25.5" customHeight="1">
      <c r="A36" s="1742"/>
      <c r="B36" s="1332"/>
      <c r="C36" s="1333"/>
      <c r="D36" s="1747"/>
      <c r="E36" s="1748"/>
      <c r="F36" s="1748"/>
      <c r="G36" s="1749"/>
      <c r="H36" s="1747"/>
      <c r="I36" s="1751"/>
      <c r="J36" s="869">
        <f t="shared" si="4"/>
        <v>652</v>
      </c>
      <c r="K36" s="870" t="s">
        <v>187</v>
      </c>
      <c r="L36" s="871">
        <v>39</v>
      </c>
      <c r="M36" s="870" t="s">
        <v>187</v>
      </c>
      <c r="N36" s="871">
        <v>11</v>
      </c>
      <c r="O36" s="870" t="s">
        <v>187</v>
      </c>
      <c r="P36" s="871">
        <v>151</v>
      </c>
      <c r="Q36" s="870" t="s">
        <v>187</v>
      </c>
      <c r="R36" s="871">
        <v>28</v>
      </c>
      <c r="S36" s="870" t="s">
        <v>187</v>
      </c>
      <c r="T36" s="871">
        <v>100</v>
      </c>
      <c r="U36" s="870" t="s">
        <v>187</v>
      </c>
      <c r="V36" s="871">
        <v>34</v>
      </c>
      <c r="W36" s="870" t="s">
        <v>187</v>
      </c>
      <c r="X36" s="871">
        <v>10</v>
      </c>
      <c r="Y36" s="870" t="s">
        <v>187</v>
      </c>
      <c r="Z36" s="871">
        <v>279</v>
      </c>
      <c r="AA36" s="1203" t="s">
        <v>187</v>
      </c>
      <c r="AB36" s="1210">
        <f t="shared" si="5"/>
        <v>191347</v>
      </c>
      <c r="AC36" s="874" t="s">
        <v>188</v>
      </c>
      <c r="AD36" s="872">
        <v>7528</v>
      </c>
      <c r="AE36" s="874" t="s">
        <v>188</v>
      </c>
      <c r="AF36" s="872">
        <v>586</v>
      </c>
      <c r="AG36" s="874" t="s">
        <v>188</v>
      </c>
      <c r="AH36" s="872">
        <v>7047</v>
      </c>
      <c r="AI36" s="874" t="s">
        <v>188</v>
      </c>
      <c r="AJ36" s="872">
        <v>15692</v>
      </c>
      <c r="AK36" s="874" t="s">
        <v>188</v>
      </c>
      <c r="AL36" s="872">
        <v>7589</v>
      </c>
      <c r="AM36" s="874" t="s">
        <v>188</v>
      </c>
      <c r="AN36" s="872">
        <v>152905</v>
      </c>
      <c r="AO36" s="874" t="s">
        <v>188</v>
      </c>
      <c r="AP36" s="1757"/>
    </row>
    <row r="37" spans="1:42" ht="25.5" customHeight="1">
      <c r="A37" s="1742"/>
      <c r="B37" s="1332" t="s">
        <v>44</v>
      </c>
      <c r="C37" s="1333"/>
      <c r="D37" s="1747">
        <v>5</v>
      </c>
      <c r="E37" s="1756">
        <v>16153</v>
      </c>
      <c r="F37" s="1758">
        <f>H37+AB38</f>
        <v>107914</v>
      </c>
      <c r="G37" s="1749">
        <f>F37/E37</f>
        <v>6.680740419736272</v>
      </c>
      <c r="H37" s="1747">
        <v>14021</v>
      </c>
      <c r="I37" s="1751">
        <f>H37/E37*100</f>
        <v>86.80121339689222</v>
      </c>
      <c r="J37" s="867">
        <f t="shared" si="4"/>
        <v>62</v>
      </c>
      <c r="K37" s="873" t="s">
        <v>185</v>
      </c>
      <c r="L37" s="868">
        <v>4</v>
      </c>
      <c r="M37" s="873" t="s">
        <v>185</v>
      </c>
      <c r="N37" s="868">
        <v>2</v>
      </c>
      <c r="O37" s="873" t="s">
        <v>185</v>
      </c>
      <c r="P37" s="868">
        <v>8</v>
      </c>
      <c r="Q37" s="873" t="s">
        <v>185</v>
      </c>
      <c r="R37" s="868">
        <v>2</v>
      </c>
      <c r="S37" s="873" t="s">
        <v>185</v>
      </c>
      <c r="T37" s="868">
        <v>4</v>
      </c>
      <c r="U37" s="873" t="s">
        <v>185</v>
      </c>
      <c r="V37" s="868">
        <v>0</v>
      </c>
      <c r="W37" s="873" t="s">
        <v>185</v>
      </c>
      <c r="X37" s="868">
        <v>0</v>
      </c>
      <c r="Y37" s="873" t="s">
        <v>185</v>
      </c>
      <c r="Z37" s="868">
        <v>42</v>
      </c>
      <c r="AA37" s="1204" t="s">
        <v>185</v>
      </c>
      <c r="AB37" s="1209">
        <f t="shared" si="5"/>
        <v>2126</v>
      </c>
      <c r="AC37" s="870" t="s">
        <v>186</v>
      </c>
      <c r="AD37" s="871">
        <v>260</v>
      </c>
      <c r="AE37" s="870" t="s">
        <v>186</v>
      </c>
      <c r="AF37" s="871">
        <v>113</v>
      </c>
      <c r="AG37" s="870" t="s">
        <v>186</v>
      </c>
      <c r="AH37" s="871">
        <v>285</v>
      </c>
      <c r="AI37" s="870" t="s">
        <v>186</v>
      </c>
      <c r="AJ37" s="871">
        <v>428</v>
      </c>
      <c r="AK37" s="870" t="s">
        <v>186</v>
      </c>
      <c r="AL37" s="871">
        <v>119</v>
      </c>
      <c r="AM37" s="870" t="s">
        <v>186</v>
      </c>
      <c r="AN37" s="871">
        <v>921</v>
      </c>
      <c r="AO37" s="870" t="s">
        <v>186</v>
      </c>
      <c r="AP37" s="1757">
        <v>60</v>
      </c>
    </row>
    <row r="38" spans="1:42" ht="25.5" customHeight="1">
      <c r="A38" s="1742"/>
      <c r="B38" s="1332"/>
      <c r="C38" s="1333"/>
      <c r="D38" s="1747"/>
      <c r="E38" s="1748"/>
      <c r="F38" s="1748"/>
      <c r="G38" s="1749"/>
      <c r="H38" s="1747"/>
      <c r="I38" s="1751"/>
      <c r="J38" s="869">
        <f t="shared" si="4"/>
        <v>257</v>
      </c>
      <c r="K38" s="874" t="s">
        <v>187</v>
      </c>
      <c r="L38" s="872">
        <v>108</v>
      </c>
      <c r="M38" s="874" t="s">
        <v>187</v>
      </c>
      <c r="N38" s="872">
        <v>14</v>
      </c>
      <c r="O38" s="874" t="s">
        <v>187</v>
      </c>
      <c r="P38" s="872">
        <v>18</v>
      </c>
      <c r="Q38" s="874" t="s">
        <v>187</v>
      </c>
      <c r="R38" s="872">
        <v>5</v>
      </c>
      <c r="S38" s="874" t="s">
        <v>187</v>
      </c>
      <c r="T38" s="872">
        <v>4</v>
      </c>
      <c r="U38" s="874" t="s">
        <v>187</v>
      </c>
      <c r="V38" s="872">
        <v>0</v>
      </c>
      <c r="W38" s="874" t="s">
        <v>187</v>
      </c>
      <c r="X38" s="872">
        <v>0</v>
      </c>
      <c r="Y38" s="874" t="s">
        <v>187</v>
      </c>
      <c r="Z38" s="872">
        <v>108</v>
      </c>
      <c r="AA38" s="1205" t="s">
        <v>187</v>
      </c>
      <c r="AB38" s="1210">
        <f>SUM(AD38,AF38,AH38,AJ38,AL38,AN38)</f>
        <v>93893</v>
      </c>
      <c r="AC38" s="874" t="s">
        <v>188</v>
      </c>
      <c r="AD38" s="872">
        <v>7923</v>
      </c>
      <c r="AE38" s="874" t="s">
        <v>188</v>
      </c>
      <c r="AF38" s="872">
        <v>1466</v>
      </c>
      <c r="AG38" s="874" t="s">
        <v>188</v>
      </c>
      <c r="AH38" s="872">
        <v>4025</v>
      </c>
      <c r="AI38" s="874" t="s">
        <v>188</v>
      </c>
      <c r="AJ38" s="872">
        <v>8943</v>
      </c>
      <c r="AK38" s="874" t="s">
        <v>188</v>
      </c>
      <c r="AL38" s="872">
        <v>2900</v>
      </c>
      <c r="AM38" s="874" t="s">
        <v>188</v>
      </c>
      <c r="AN38" s="872">
        <v>68636</v>
      </c>
      <c r="AO38" s="874" t="s">
        <v>188</v>
      </c>
      <c r="AP38" s="1757"/>
    </row>
    <row r="39" spans="1:42" ht="25.5" customHeight="1">
      <c r="A39" s="1742"/>
      <c r="B39" s="1332" t="s">
        <v>53</v>
      </c>
      <c r="C39" s="1333"/>
      <c r="D39" s="1747">
        <v>4</v>
      </c>
      <c r="E39" s="1756">
        <v>9164</v>
      </c>
      <c r="F39" s="1758">
        <f>H39+AB40</f>
        <v>27915</v>
      </c>
      <c r="G39" s="1749">
        <f>F39/E39</f>
        <v>3.0461588825840242</v>
      </c>
      <c r="H39" s="1747">
        <v>4194</v>
      </c>
      <c r="I39" s="1751">
        <f>H39/E39*100</f>
        <v>45.766041030117854</v>
      </c>
      <c r="J39" s="867">
        <f t="shared" si="4"/>
        <v>33</v>
      </c>
      <c r="K39" s="873" t="s">
        <v>185</v>
      </c>
      <c r="L39" s="868">
        <v>0</v>
      </c>
      <c r="M39" s="873" t="s">
        <v>185</v>
      </c>
      <c r="N39" s="868">
        <v>0</v>
      </c>
      <c r="O39" s="873" t="s">
        <v>185</v>
      </c>
      <c r="P39" s="868">
        <v>2</v>
      </c>
      <c r="Q39" s="873" t="s">
        <v>185</v>
      </c>
      <c r="R39" s="868">
        <v>3</v>
      </c>
      <c r="S39" s="873" t="s">
        <v>185</v>
      </c>
      <c r="T39" s="868">
        <v>0</v>
      </c>
      <c r="U39" s="873" t="s">
        <v>185</v>
      </c>
      <c r="V39" s="868">
        <v>0</v>
      </c>
      <c r="W39" s="873" t="s">
        <v>185</v>
      </c>
      <c r="X39" s="868">
        <v>1</v>
      </c>
      <c r="Y39" s="873" t="s">
        <v>185</v>
      </c>
      <c r="Z39" s="868">
        <v>27</v>
      </c>
      <c r="AA39" s="1204" t="s">
        <v>185</v>
      </c>
      <c r="AB39" s="1209">
        <f t="shared" si="5"/>
        <v>129</v>
      </c>
      <c r="AC39" s="873" t="s">
        <v>186</v>
      </c>
      <c r="AD39" s="868">
        <v>12</v>
      </c>
      <c r="AE39" s="873" t="s">
        <v>186</v>
      </c>
      <c r="AF39" s="868">
        <v>3</v>
      </c>
      <c r="AG39" s="873" t="s">
        <v>186</v>
      </c>
      <c r="AH39" s="868">
        <v>6</v>
      </c>
      <c r="AI39" s="873" t="s">
        <v>186</v>
      </c>
      <c r="AJ39" s="868">
        <v>13</v>
      </c>
      <c r="AK39" s="873" t="s">
        <v>186</v>
      </c>
      <c r="AL39" s="868">
        <v>14</v>
      </c>
      <c r="AM39" s="873" t="s">
        <v>186</v>
      </c>
      <c r="AN39" s="868">
        <v>81</v>
      </c>
      <c r="AO39" s="873" t="s">
        <v>186</v>
      </c>
      <c r="AP39" s="1757">
        <v>0</v>
      </c>
    </row>
    <row r="40" spans="1:42" ht="25.5" customHeight="1">
      <c r="A40" s="1742"/>
      <c r="B40" s="1754"/>
      <c r="C40" s="1755"/>
      <c r="D40" s="1756"/>
      <c r="E40" s="1748"/>
      <c r="F40" s="1748"/>
      <c r="G40" s="1759"/>
      <c r="H40" s="1756"/>
      <c r="I40" s="1760"/>
      <c r="J40" s="869">
        <f t="shared" si="4"/>
        <v>192</v>
      </c>
      <c r="K40" s="870" t="s">
        <v>187</v>
      </c>
      <c r="L40" s="871">
        <v>0</v>
      </c>
      <c r="M40" s="870" t="s">
        <v>187</v>
      </c>
      <c r="N40" s="871">
        <v>0</v>
      </c>
      <c r="O40" s="870" t="s">
        <v>187</v>
      </c>
      <c r="P40" s="871">
        <v>11</v>
      </c>
      <c r="Q40" s="870" t="s">
        <v>187</v>
      </c>
      <c r="R40" s="871">
        <v>3</v>
      </c>
      <c r="S40" s="870" t="s">
        <v>187</v>
      </c>
      <c r="T40" s="871">
        <v>0</v>
      </c>
      <c r="U40" s="870" t="s">
        <v>187</v>
      </c>
      <c r="V40" s="871">
        <v>0</v>
      </c>
      <c r="W40" s="870" t="s">
        <v>187</v>
      </c>
      <c r="X40" s="871">
        <v>1</v>
      </c>
      <c r="Y40" s="870" t="s">
        <v>187</v>
      </c>
      <c r="Z40" s="871">
        <v>177</v>
      </c>
      <c r="AA40" s="1203" t="s">
        <v>187</v>
      </c>
      <c r="AB40" s="1210">
        <f t="shared" si="5"/>
        <v>23721</v>
      </c>
      <c r="AC40" s="870" t="s">
        <v>188</v>
      </c>
      <c r="AD40" s="871">
        <v>2695</v>
      </c>
      <c r="AE40" s="870" t="s">
        <v>188</v>
      </c>
      <c r="AF40" s="871">
        <v>229</v>
      </c>
      <c r="AG40" s="870" t="s">
        <v>188</v>
      </c>
      <c r="AH40" s="871">
        <v>384</v>
      </c>
      <c r="AI40" s="870" t="s">
        <v>188</v>
      </c>
      <c r="AJ40" s="871">
        <v>1310</v>
      </c>
      <c r="AK40" s="870" t="s">
        <v>188</v>
      </c>
      <c r="AL40" s="871">
        <v>1976</v>
      </c>
      <c r="AM40" s="870" t="s">
        <v>188</v>
      </c>
      <c r="AN40" s="871">
        <v>17127</v>
      </c>
      <c r="AO40" s="870" t="s">
        <v>188</v>
      </c>
      <c r="AP40" s="1753"/>
    </row>
    <row r="41" spans="1:42" ht="25.5" customHeight="1">
      <c r="A41" s="1742"/>
      <c r="B41" s="1332" t="s">
        <v>27</v>
      </c>
      <c r="C41" s="1333"/>
      <c r="D41" s="1747">
        <v>31</v>
      </c>
      <c r="E41" s="1756">
        <v>74822</v>
      </c>
      <c r="F41" s="1758">
        <f>H41+AB42</f>
        <v>280416</v>
      </c>
      <c r="G41" s="1749">
        <f>F41/E41</f>
        <v>3.747774718665633</v>
      </c>
      <c r="H41" s="1747">
        <v>62278</v>
      </c>
      <c r="I41" s="1751">
        <f>H41/E41*100</f>
        <v>83.23487744246346</v>
      </c>
      <c r="J41" s="867">
        <f t="shared" si="4"/>
        <v>893</v>
      </c>
      <c r="K41" s="873" t="s">
        <v>185</v>
      </c>
      <c r="L41" s="868">
        <v>64</v>
      </c>
      <c r="M41" s="873" t="s">
        <v>185</v>
      </c>
      <c r="N41" s="868">
        <v>34</v>
      </c>
      <c r="O41" s="873" t="s">
        <v>185</v>
      </c>
      <c r="P41" s="868">
        <v>184</v>
      </c>
      <c r="Q41" s="873" t="s">
        <v>185</v>
      </c>
      <c r="R41" s="868">
        <v>58</v>
      </c>
      <c r="S41" s="873" t="s">
        <v>185</v>
      </c>
      <c r="T41" s="868">
        <v>121</v>
      </c>
      <c r="U41" s="873" t="s">
        <v>185</v>
      </c>
      <c r="V41" s="868">
        <v>23</v>
      </c>
      <c r="W41" s="873" t="s">
        <v>185</v>
      </c>
      <c r="X41" s="868">
        <v>21</v>
      </c>
      <c r="Y41" s="873" t="s">
        <v>185</v>
      </c>
      <c r="Z41" s="868">
        <v>388</v>
      </c>
      <c r="AA41" s="1204" t="s">
        <v>185</v>
      </c>
      <c r="AB41" s="1209">
        <f t="shared" si="5"/>
        <v>14531</v>
      </c>
      <c r="AC41" s="873" t="s">
        <v>186</v>
      </c>
      <c r="AD41" s="868">
        <v>1241</v>
      </c>
      <c r="AE41" s="873" t="s">
        <v>186</v>
      </c>
      <c r="AF41" s="868">
        <v>227</v>
      </c>
      <c r="AG41" s="873" t="s">
        <v>186</v>
      </c>
      <c r="AH41" s="868">
        <v>2951</v>
      </c>
      <c r="AI41" s="873" t="s">
        <v>186</v>
      </c>
      <c r="AJ41" s="868">
        <v>4927</v>
      </c>
      <c r="AK41" s="873" t="s">
        <v>186</v>
      </c>
      <c r="AL41" s="868">
        <v>2429</v>
      </c>
      <c r="AM41" s="873" t="s">
        <v>186</v>
      </c>
      <c r="AN41" s="868">
        <v>2756</v>
      </c>
      <c r="AO41" s="873" t="s">
        <v>186</v>
      </c>
      <c r="AP41" s="1757">
        <v>98</v>
      </c>
    </row>
    <row r="42" spans="1:42" ht="25.5" customHeight="1">
      <c r="A42" s="1742"/>
      <c r="B42" s="1332"/>
      <c r="C42" s="1333"/>
      <c r="D42" s="1747"/>
      <c r="E42" s="1748"/>
      <c r="F42" s="1748"/>
      <c r="G42" s="1749"/>
      <c r="H42" s="1747"/>
      <c r="I42" s="1751"/>
      <c r="J42" s="869">
        <f t="shared" si="4"/>
        <v>1244</v>
      </c>
      <c r="K42" s="874" t="s">
        <v>187</v>
      </c>
      <c r="L42" s="872">
        <v>88</v>
      </c>
      <c r="M42" s="874" t="s">
        <v>187</v>
      </c>
      <c r="N42" s="872">
        <v>42</v>
      </c>
      <c r="O42" s="874" t="s">
        <v>187</v>
      </c>
      <c r="P42" s="872">
        <v>256</v>
      </c>
      <c r="Q42" s="874" t="s">
        <v>187</v>
      </c>
      <c r="R42" s="872">
        <v>71</v>
      </c>
      <c r="S42" s="874" t="s">
        <v>187</v>
      </c>
      <c r="T42" s="872">
        <v>146</v>
      </c>
      <c r="U42" s="874" t="s">
        <v>187</v>
      </c>
      <c r="V42" s="872">
        <v>36</v>
      </c>
      <c r="W42" s="874" t="s">
        <v>187</v>
      </c>
      <c r="X42" s="872">
        <v>50</v>
      </c>
      <c r="Y42" s="874" t="s">
        <v>187</v>
      </c>
      <c r="Z42" s="872">
        <v>555</v>
      </c>
      <c r="AA42" s="1205" t="s">
        <v>187</v>
      </c>
      <c r="AB42" s="1210">
        <f t="shared" si="5"/>
        <v>218138</v>
      </c>
      <c r="AC42" s="874" t="s">
        <v>188</v>
      </c>
      <c r="AD42" s="872">
        <v>17296</v>
      </c>
      <c r="AE42" s="874" t="s">
        <v>188</v>
      </c>
      <c r="AF42" s="872">
        <v>2878</v>
      </c>
      <c r="AG42" s="874" t="s">
        <v>188</v>
      </c>
      <c r="AH42" s="872">
        <v>27491</v>
      </c>
      <c r="AI42" s="874" t="s">
        <v>188</v>
      </c>
      <c r="AJ42" s="872">
        <v>57752</v>
      </c>
      <c r="AK42" s="874" t="s">
        <v>188</v>
      </c>
      <c r="AL42" s="872">
        <v>44547</v>
      </c>
      <c r="AM42" s="874" t="s">
        <v>188</v>
      </c>
      <c r="AN42" s="872">
        <v>68174</v>
      </c>
      <c r="AO42" s="874" t="s">
        <v>188</v>
      </c>
      <c r="AP42" s="1757"/>
    </row>
    <row r="43" spans="1:42" ht="25.5" customHeight="1">
      <c r="A43" s="1742"/>
      <c r="B43" s="1332" t="s">
        <v>54</v>
      </c>
      <c r="C43" s="1333"/>
      <c r="D43" s="1747">
        <v>4</v>
      </c>
      <c r="E43" s="1756">
        <v>3973</v>
      </c>
      <c r="F43" s="1758">
        <f>H43+AB44</f>
        <v>5538</v>
      </c>
      <c r="G43" s="1749">
        <f>F43/E43</f>
        <v>1.3939088849735717</v>
      </c>
      <c r="H43" s="1747">
        <v>2724</v>
      </c>
      <c r="I43" s="1751">
        <f>H43/E43*100</f>
        <v>68.56279889252454</v>
      </c>
      <c r="J43" s="867">
        <f t="shared" si="4"/>
        <v>27</v>
      </c>
      <c r="K43" s="873" t="s">
        <v>185</v>
      </c>
      <c r="L43" s="868">
        <v>0</v>
      </c>
      <c r="M43" s="873" t="s">
        <v>185</v>
      </c>
      <c r="N43" s="868">
        <v>0</v>
      </c>
      <c r="O43" s="873" t="s">
        <v>185</v>
      </c>
      <c r="P43" s="868">
        <v>8</v>
      </c>
      <c r="Q43" s="873" t="s">
        <v>185</v>
      </c>
      <c r="R43" s="868">
        <v>3</v>
      </c>
      <c r="S43" s="873" t="s">
        <v>185</v>
      </c>
      <c r="T43" s="868">
        <v>7</v>
      </c>
      <c r="U43" s="873" t="s">
        <v>185</v>
      </c>
      <c r="V43" s="868">
        <v>0</v>
      </c>
      <c r="W43" s="873" t="s">
        <v>185</v>
      </c>
      <c r="X43" s="868">
        <v>1</v>
      </c>
      <c r="Y43" s="873" t="s">
        <v>185</v>
      </c>
      <c r="Z43" s="868">
        <v>8</v>
      </c>
      <c r="AA43" s="1204" t="s">
        <v>185</v>
      </c>
      <c r="AB43" s="1209">
        <f t="shared" si="5"/>
        <v>101</v>
      </c>
      <c r="AC43" s="873" t="s">
        <v>186</v>
      </c>
      <c r="AD43" s="868">
        <v>32</v>
      </c>
      <c r="AE43" s="873" t="s">
        <v>186</v>
      </c>
      <c r="AF43" s="868">
        <v>0</v>
      </c>
      <c r="AG43" s="873" t="s">
        <v>186</v>
      </c>
      <c r="AH43" s="868">
        <v>6</v>
      </c>
      <c r="AI43" s="873" t="s">
        <v>186</v>
      </c>
      <c r="AJ43" s="868">
        <v>0</v>
      </c>
      <c r="AK43" s="873" t="s">
        <v>186</v>
      </c>
      <c r="AL43" s="868">
        <v>1</v>
      </c>
      <c r="AM43" s="873" t="s">
        <v>186</v>
      </c>
      <c r="AN43" s="868">
        <v>62</v>
      </c>
      <c r="AO43" s="873" t="s">
        <v>186</v>
      </c>
      <c r="AP43" s="1757">
        <v>0</v>
      </c>
    </row>
    <row r="44" spans="1:42" ht="25.5" customHeight="1">
      <c r="A44" s="1742"/>
      <c r="B44" s="1332"/>
      <c r="C44" s="1333"/>
      <c r="D44" s="1747"/>
      <c r="E44" s="1748"/>
      <c r="F44" s="1748"/>
      <c r="G44" s="1749"/>
      <c r="H44" s="1747"/>
      <c r="I44" s="1751"/>
      <c r="J44" s="869">
        <f t="shared" si="4"/>
        <v>93</v>
      </c>
      <c r="K44" s="874" t="s">
        <v>187</v>
      </c>
      <c r="L44" s="872">
        <v>0</v>
      </c>
      <c r="M44" s="874" t="s">
        <v>187</v>
      </c>
      <c r="N44" s="872">
        <v>0</v>
      </c>
      <c r="O44" s="874" t="s">
        <v>187</v>
      </c>
      <c r="P44" s="872">
        <v>9</v>
      </c>
      <c r="Q44" s="874" t="s">
        <v>187</v>
      </c>
      <c r="R44" s="872">
        <v>3</v>
      </c>
      <c r="S44" s="874" t="s">
        <v>187</v>
      </c>
      <c r="T44" s="872">
        <v>8</v>
      </c>
      <c r="U44" s="874" t="s">
        <v>187</v>
      </c>
      <c r="V44" s="872">
        <v>0</v>
      </c>
      <c r="W44" s="874" t="s">
        <v>187</v>
      </c>
      <c r="X44" s="872">
        <v>1</v>
      </c>
      <c r="Y44" s="874" t="s">
        <v>187</v>
      </c>
      <c r="Z44" s="872">
        <v>72</v>
      </c>
      <c r="AA44" s="1205" t="s">
        <v>187</v>
      </c>
      <c r="AB44" s="1210">
        <f t="shared" si="5"/>
        <v>2814</v>
      </c>
      <c r="AC44" s="874" t="s">
        <v>188</v>
      </c>
      <c r="AD44" s="872">
        <v>750</v>
      </c>
      <c r="AE44" s="874" t="s">
        <v>188</v>
      </c>
      <c r="AF44" s="872">
        <v>0</v>
      </c>
      <c r="AG44" s="874" t="s">
        <v>188</v>
      </c>
      <c r="AH44" s="872">
        <v>150</v>
      </c>
      <c r="AI44" s="874" t="s">
        <v>188</v>
      </c>
      <c r="AJ44" s="872">
        <v>0</v>
      </c>
      <c r="AK44" s="874" t="s">
        <v>188</v>
      </c>
      <c r="AL44" s="872">
        <v>54</v>
      </c>
      <c r="AM44" s="874" t="s">
        <v>188</v>
      </c>
      <c r="AN44" s="872">
        <v>1860</v>
      </c>
      <c r="AO44" s="874" t="s">
        <v>188</v>
      </c>
      <c r="AP44" s="1757"/>
    </row>
    <row r="45" spans="1:42" ht="25.5" customHeight="1">
      <c r="A45" s="1742"/>
      <c r="B45" s="1332" t="s">
        <v>45</v>
      </c>
      <c r="C45" s="1333"/>
      <c r="D45" s="1747">
        <v>7</v>
      </c>
      <c r="E45" s="1756">
        <v>10360</v>
      </c>
      <c r="F45" s="1758">
        <f>H45+AB46</f>
        <v>37253</v>
      </c>
      <c r="G45" s="1749">
        <f>F45/E45</f>
        <v>3.595849420849421</v>
      </c>
      <c r="H45" s="1747">
        <v>6807</v>
      </c>
      <c r="I45" s="1751">
        <f>H45/E45*100</f>
        <v>65.7046332046332</v>
      </c>
      <c r="J45" s="867">
        <f t="shared" si="4"/>
        <v>63</v>
      </c>
      <c r="K45" s="870" t="s">
        <v>185</v>
      </c>
      <c r="L45" s="871">
        <v>7</v>
      </c>
      <c r="M45" s="870" t="s">
        <v>185</v>
      </c>
      <c r="N45" s="871">
        <v>5</v>
      </c>
      <c r="O45" s="870" t="s">
        <v>185</v>
      </c>
      <c r="P45" s="871">
        <v>16</v>
      </c>
      <c r="Q45" s="870" t="s">
        <v>185</v>
      </c>
      <c r="R45" s="871">
        <v>2</v>
      </c>
      <c r="S45" s="870" t="s">
        <v>185</v>
      </c>
      <c r="T45" s="871">
        <v>6</v>
      </c>
      <c r="U45" s="870" t="s">
        <v>185</v>
      </c>
      <c r="V45" s="871">
        <v>3</v>
      </c>
      <c r="W45" s="870" t="s">
        <v>185</v>
      </c>
      <c r="X45" s="871">
        <v>1</v>
      </c>
      <c r="Y45" s="870" t="s">
        <v>185</v>
      </c>
      <c r="Z45" s="871">
        <v>23</v>
      </c>
      <c r="AA45" s="1203" t="s">
        <v>185</v>
      </c>
      <c r="AB45" s="1209">
        <f t="shared" si="5"/>
        <v>211</v>
      </c>
      <c r="AC45" s="870" t="s">
        <v>186</v>
      </c>
      <c r="AD45" s="871">
        <v>16</v>
      </c>
      <c r="AE45" s="870" t="s">
        <v>186</v>
      </c>
      <c r="AF45" s="871">
        <v>1</v>
      </c>
      <c r="AG45" s="870" t="s">
        <v>186</v>
      </c>
      <c r="AH45" s="871">
        <v>24</v>
      </c>
      <c r="AI45" s="870" t="s">
        <v>186</v>
      </c>
      <c r="AJ45" s="871">
        <v>22</v>
      </c>
      <c r="AK45" s="870" t="s">
        <v>186</v>
      </c>
      <c r="AL45" s="871">
        <v>24</v>
      </c>
      <c r="AM45" s="870" t="s">
        <v>186</v>
      </c>
      <c r="AN45" s="871">
        <v>124</v>
      </c>
      <c r="AO45" s="870" t="s">
        <v>186</v>
      </c>
      <c r="AP45" s="1775">
        <v>35</v>
      </c>
    </row>
    <row r="46" spans="1:42" ht="25.5" customHeight="1">
      <c r="A46" s="1742"/>
      <c r="B46" s="1332"/>
      <c r="C46" s="1333"/>
      <c r="D46" s="1747"/>
      <c r="E46" s="1748"/>
      <c r="F46" s="1748"/>
      <c r="G46" s="1749"/>
      <c r="H46" s="1747"/>
      <c r="I46" s="1751"/>
      <c r="J46" s="869">
        <f t="shared" si="4"/>
        <v>363</v>
      </c>
      <c r="K46" s="870" t="s">
        <v>187</v>
      </c>
      <c r="L46" s="871">
        <v>13</v>
      </c>
      <c r="M46" s="870" t="s">
        <v>187</v>
      </c>
      <c r="N46" s="871">
        <v>19</v>
      </c>
      <c r="O46" s="870" t="s">
        <v>187</v>
      </c>
      <c r="P46" s="871">
        <v>53</v>
      </c>
      <c r="Q46" s="870" t="s">
        <v>187</v>
      </c>
      <c r="R46" s="871">
        <v>3</v>
      </c>
      <c r="S46" s="870" t="s">
        <v>187</v>
      </c>
      <c r="T46" s="871">
        <v>17</v>
      </c>
      <c r="U46" s="870" t="s">
        <v>187</v>
      </c>
      <c r="V46" s="871">
        <v>6</v>
      </c>
      <c r="W46" s="870" t="s">
        <v>187</v>
      </c>
      <c r="X46" s="871">
        <v>160</v>
      </c>
      <c r="Y46" s="870" t="s">
        <v>187</v>
      </c>
      <c r="Z46" s="871">
        <v>92</v>
      </c>
      <c r="AA46" s="1203" t="s">
        <v>187</v>
      </c>
      <c r="AB46" s="1210">
        <f t="shared" si="5"/>
        <v>30446</v>
      </c>
      <c r="AC46" s="870" t="s">
        <v>188</v>
      </c>
      <c r="AD46" s="871">
        <v>1146</v>
      </c>
      <c r="AE46" s="870" t="s">
        <v>188</v>
      </c>
      <c r="AF46" s="871">
        <v>390</v>
      </c>
      <c r="AG46" s="870" t="s">
        <v>188</v>
      </c>
      <c r="AH46" s="871">
        <v>893</v>
      </c>
      <c r="AI46" s="870" t="s">
        <v>188</v>
      </c>
      <c r="AJ46" s="871">
        <v>3804</v>
      </c>
      <c r="AK46" s="870" t="s">
        <v>188</v>
      </c>
      <c r="AL46" s="871">
        <v>3290</v>
      </c>
      <c r="AM46" s="870" t="s">
        <v>188</v>
      </c>
      <c r="AN46" s="871">
        <v>20923</v>
      </c>
      <c r="AO46" s="870" t="s">
        <v>188</v>
      </c>
      <c r="AP46" s="1753"/>
    </row>
    <row r="47" spans="1:42" ht="25.5" customHeight="1">
      <c r="A47" s="1742"/>
      <c r="B47" s="1332" t="s">
        <v>46</v>
      </c>
      <c r="C47" s="1333"/>
      <c r="D47" s="1747">
        <v>21</v>
      </c>
      <c r="E47" s="1756">
        <v>20998</v>
      </c>
      <c r="F47" s="1756">
        <f>H47+AB48</f>
        <v>77541</v>
      </c>
      <c r="G47" s="1749">
        <f>F47/E47</f>
        <v>3.6927802647871224</v>
      </c>
      <c r="H47" s="1747">
        <v>26007</v>
      </c>
      <c r="I47" s="1751">
        <f>H47/E47*100</f>
        <v>123.85465282407849</v>
      </c>
      <c r="J47" s="867">
        <f t="shared" si="4"/>
        <v>289</v>
      </c>
      <c r="K47" s="873" t="s">
        <v>185</v>
      </c>
      <c r="L47" s="868">
        <v>11</v>
      </c>
      <c r="M47" s="873" t="s">
        <v>185</v>
      </c>
      <c r="N47" s="868">
        <v>24</v>
      </c>
      <c r="O47" s="873" t="s">
        <v>185</v>
      </c>
      <c r="P47" s="868">
        <v>42</v>
      </c>
      <c r="Q47" s="873" t="s">
        <v>185</v>
      </c>
      <c r="R47" s="868">
        <v>24</v>
      </c>
      <c r="S47" s="873" t="s">
        <v>185</v>
      </c>
      <c r="T47" s="868">
        <v>54</v>
      </c>
      <c r="U47" s="873" t="s">
        <v>185</v>
      </c>
      <c r="V47" s="868">
        <v>5</v>
      </c>
      <c r="W47" s="873" t="s">
        <v>185</v>
      </c>
      <c r="X47" s="868">
        <v>15</v>
      </c>
      <c r="Y47" s="873" t="s">
        <v>185</v>
      </c>
      <c r="Z47" s="868">
        <v>114</v>
      </c>
      <c r="AA47" s="1204" t="s">
        <v>185</v>
      </c>
      <c r="AB47" s="1209">
        <f t="shared" si="5"/>
        <v>686</v>
      </c>
      <c r="AC47" s="873" t="s">
        <v>186</v>
      </c>
      <c r="AD47" s="868">
        <v>16</v>
      </c>
      <c r="AE47" s="873" t="s">
        <v>186</v>
      </c>
      <c r="AF47" s="868">
        <v>15</v>
      </c>
      <c r="AG47" s="873" t="s">
        <v>186</v>
      </c>
      <c r="AH47" s="868">
        <v>17</v>
      </c>
      <c r="AI47" s="873" t="s">
        <v>186</v>
      </c>
      <c r="AJ47" s="868">
        <v>152</v>
      </c>
      <c r="AK47" s="873" t="s">
        <v>186</v>
      </c>
      <c r="AL47" s="868">
        <v>90</v>
      </c>
      <c r="AM47" s="873" t="s">
        <v>186</v>
      </c>
      <c r="AN47" s="868">
        <v>396</v>
      </c>
      <c r="AO47" s="873" t="s">
        <v>186</v>
      </c>
      <c r="AP47" s="1753">
        <v>173</v>
      </c>
    </row>
    <row r="48" spans="1:42" ht="25.5" customHeight="1" thickBot="1">
      <c r="A48" s="1742"/>
      <c r="B48" s="1779"/>
      <c r="C48" s="1780"/>
      <c r="D48" s="1763"/>
      <c r="E48" s="1764"/>
      <c r="F48" s="1764"/>
      <c r="G48" s="1765"/>
      <c r="H48" s="1763"/>
      <c r="I48" s="1766"/>
      <c r="J48" s="1198">
        <f t="shared" si="4"/>
        <v>965</v>
      </c>
      <c r="K48" s="1199" t="s">
        <v>187</v>
      </c>
      <c r="L48" s="1200">
        <v>13</v>
      </c>
      <c r="M48" s="1199" t="s">
        <v>187</v>
      </c>
      <c r="N48" s="1200">
        <v>59</v>
      </c>
      <c r="O48" s="1199" t="s">
        <v>187</v>
      </c>
      <c r="P48" s="1200">
        <v>164</v>
      </c>
      <c r="Q48" s="1199" t="s">
        <v>187</v>
      </c>
      <c r="R48" s="1200">
        <v>26</v>
      </c>
      <c r="S48" s="1199" t="s">
        <v>187</v>
      </c>
      <c r="T48" s="1200">
        <v>71</v>
      </c>
      <c r="U48" s="1199" t="s">
        <v>187</v>
      </c>
      <c r="V48" s="1200">
        <v>27</v>
      </c>
      <c r="W48" s="1199" t="s">
        <v>187</v>
      </c>
      <c r="X48" s="1200">
        <v>19</v>
      </c>
      <c r="Y48" s="1199" t="s">
        <v>187</v>
      </c>
      <c r="Z48" s="1200">
        <v>586</v>
      </c>
      <c r="AA48" s="1206" t="s">
        <v>187</v>
      </c>
      <c r="AB48" s="1211">
        <f t="shared" si="5"/>
        <v>51534</v>
      </c>
      <c r="AC48" s="1199" t="s">
        <v>188</v>
      </c>
      <c r="AD48" s="1200">
        <v>5160</v>
      </c>
      <c r="AE48" s="1199" t="s">
        <v>188</v>
      </c>
      <c r="AF48" s="1200">
        <v>575</v>
      </c>
      <c r="AG48" s="1199" t="s">
        <v>188</v>
      </c>
      <c r="AH48" s="1200">
        <v>748</v>
      </c>
      <c r="AI48" s="1199" t="s">
        <v>188</v>
      </c>
      <c r="AJ48" s="1200">
        <v>6225</v>
      </c>
      <c r="AK48" s="1199" t="s">
        <v>188</v>
      </c>
      <c r="AL48" s="1200">
        <v>5852</v>
      </c>
      <c r="AM48" s="1199" t="s">
        <v>188</v>
      </c>
      <c r="AN48" s="1200">
        <v>32974</v>
      </c>
      <c r="AO48" s="1199" t="s">
        <v>188</v>
      </c>
      <c r="AP48" s="1783"/>
    </row>
    <row r="49" spans="1:42" ht="25.5" customHeight="1" thickTop="1">
      <c r="A49" s="1742"/>
      <c r="B49" s="1781" t="s">
        <v>20</v>
      </c>
      <c r="C49" s="1676"/>
      <c r="D49" s="1748">
        <f>SUM(D31:D48)</f>
        <v>139</v>
      </c>
      <c r="E49" s="1758">
        <f>SUM(E31:E48)</f>
        <v>249878</v>
      </c>
      <c r="F49" s="1748">
        <f>SUM(F31:F48)</f>
        <v>1063025</v>
      </c>
      <c r="G49" s="1771">
        <f>F49/E49</f>
        <v>4.254176037906499</v>
      </c>
      <c r="H49" s="1748">
        <f>SUM(H31:H48)</f>
        <v>219248</v>
      </c>
      <c r="I49" s="1773">
        <f>H49/E49*100</f>
        <v>87.74201810483517</v>
      </c>
      <c r="J49" s="877">
        <f>SUM(J31,J33,J35,J37,J39,J41,J43,J45,J47)</f>
        <v>2339</v>
      </c>
      <c r="K49" s="870" t="s">
        <v>185</v>
      </c>
      <c r="L49" s="876">
        <f>SUM(L31,L33,L35,L37,L39,L41,L43,L45,L47)</f>
        <v>169</v>
      </c>
      <c r="M49" s="870" t="s">
        <v>185</v>
      </c>
      <c r="N49" s="876">
        <f>SUM(N31,N33,N35,N37,N39,N41,N43,N45,N47)</f>
        <v>120</v>
      </c>
      <c r="O49" s="870" t="s">
        <v>185</v>
      </c>
      <c r="P49" s="876">
        <f>SUM(P31,P33,P35,P37,P39,P41,P43,P45,P47)</f>
        <v>414</v>
      </c>
      <c r="Q49" s="870" t="s">
        <v>185</v>
      </c>
      <c r="R49" s="876">
        <f>SUM(R31,R33,R35,R37,R39,R41,R43,R45,R47)</f>
        <v>177</v>
      </c>
      <c r="S49" s="870" t="s">
        <v>185</v>
      </c>
      <c r="T49" s="876">
        <f>SUM(T31,T33,T35,T37,T39,T41,T43,T45,T47)</f>
        <v>308</v>
      </c>
      <c r="U49" s="870" t="s">
        <v>185</v>
      </c>
      <c r="V49" s="876">
        <f>SUM(V31,V33,V35,V37,V39,V41,V43,V45,V47)</f>
        <v>65</v>
      </c>
      <c r="W49" s="870" t="s">
        <v>185</v>
      </c>
      <c r="X49" s="876">
        <f>SUM(X31,X33,X35,X37,X39,X41,X43,X45,X47)</f>
        <v>87</v>
      </c>
      <c r="Y49" s="870" t="s">
        <v>185</v>
      </c>
      <c r="Z49" s="876">
        <f>SUM(Z31,Z33,Z35,Z37,Z39,Z41,Z43,Z45,Z47)</f>
        <v>999</v>
      </c>
      <c r="AA49" s="1203" t="s">
        <v>185</v>
      </c>
      <c r="AB49" s="1212">
        <f>SUM(AB31,AB33,AB35,AB37,AB39,AB41,AB43,AB45,AB47)</f>
        <v>30355</v>
      </c>
      <c r="AC49" s="870" t="s">
        <v>186</v>
      </c>
      <c r="AD49" s="876">
        <f>SUM(AD31,AD33,AD35,AD37,AD39,AD41,AD43,AD45,AD47)</f>
        <v>2588</v>
      </c>
      <c r="AE49" s="870" t="s">
        <v>186</v>
      </c>
      <c r="AF49" s="876">
        <f>SUM(AF31,AF33,AF35,AF37,AF39,AF41,AF43,AF45,AF47)</f>
        <v>583</v>
      </c>
      <c r="AG49" s="870" t="s">
        <v>186</v>
      </c>
      <c r="AH49" s="876">
        <f>SUM(AH31,AH33,AH35,AH37,AH39,AH41,AH43,AH45,AH47)</f>
        <v>4123</v>
      </c>
      <c r="AI49" s="870" t="s">
        <v>186</v>
      </c>
      <c r="AJ49" s="876">
        <f>SUM(AJ31,AJ33,AJ35,AJ37,AJ39,AJ41,AJ43,AJ45,AJ47)</f>
        <v>8114</v>
      </c>
      <c r="AK49" s="870" t="s">
        <v>186</v>
      </c>
      <c r="AL49" s="876">
        <f>SUM(AL31,AL33,AL35,AL37,AL39,AL41,AL43,AL45,AL47)</f>
        <v>4151</v>
      </c>
      <c r="AM49" s="870" t="s">
        <v>186</v>
      </c>
      <c r="AN49" s="876">
        <f>SUM(AN31,AN33,AN35,AN37,AN39,AN41,AN43,AN45,AN47)</f>
        <v>10796</v>
      </c>
      <c r="AO49" s="870" t="s">
        <v>186</v>
      </c>
      <c r="AP49" s="1784">
        <f>SUM(AP31:AP48)</f>
        <v>869</v>
      </c>
    </row>
    <row r="50" spans="1:42" ht="25.5" customHeight="1" thickBot="1">
      <c r="A50" s="1743"/>
      <c r="B50" s="1653"/>
      <c r="C50" s="1723"/>
      <c r="D50" s="1770"/>
      <c r="E50" s="1734"/>
      <c r="F50" s="1770"/>
      <c r="G50" s="1772"/>
      <c r="H50" s="1770"/>
      <c r="I50" s="1774"/>
      <c r="J50" s="862">
        <f>SUM(J32,J34,J36,J38,J40,J42,J44,J46,J48)</f>
        <v>6414</v>
      </c>
      <c r="K50" s="865" t="s">
        <v>187</v>
      </c>
      <c r="L50" s="866">
        <f>SUM(L32,L34,L36,L38,L40,L42,L44,L46,L48)</f>
        <v>518</v>
      </c>
      <c r="M50" s="865" t="s">
        <v>187</v>
      </c>
      <c r="N50" s="866">
        <f>SUM(N32,N34,N36,N38,N40,N42,N44,N46,N48)</f>
        <v>233</v>
      </c>
      <c r="O50" s="865" t="s">
        <v>187</v>
      </c>
      <c r="P50" s="866">
        <f>SUM(P32,P34,P36,P38,P40,P42,P44,P46,P48)</f>
        <v>906</v>
      </c>
      <c r="Q50" s="865" t="s">
        <v>187</v>
      </c>
      <c r="R50" s="866">
        <f>SUM(R32,R34,R36,R38,R40,R42,R44,R46,R48)</f>
        <v>292</v>
      </c>
      <c r="S50" s="865" t="s">
        <v>187</v>
      </c>
      <c r="T50" s="866">
        <f>SUM(T32,T34,T36,T38,T40,T42,T44,T46,T48)</f>
        <v>829</v>
      </c>
      <c r="U50" s="865" t="s">
        <v>187</v>
      </c>
      <c r="V50" s="866">
        <f>SUM(V32,V34,V36,V38,V40,V42,V44,V46,V48)</f>
        <v>137</v>
      </c>
      <c r="W50" s="865" t="s">
        <v>187</v>
      </c>
      <c r="X50" s="866">
        <f>SUM(X32,X34,X36,X38,X40,X42,X44,X46,X48)</f>
        <v>327</v>
      </c>
      <c r="Y50" s="865" t="s">
        <v>187</v>
      </c>
      <c r="Z50" s="866">
        <f>SUM(Z32,Z34,Z36,Z38,Z40,Z42,Z44,Z46,Z48)</f>
        <v>3172</v>
      </c>
      <c r="AA50" s="1202" t="s">
        <v>187</v>
      </c>
      <c r="AB50" s="1208">
        <f>SUM(AB32,AB34,AB36,AB38,AB40,,AB42,AB44,AB46,AB48)</f>
        <v>843777</v>
      </c>
      <c r="AC50" s="865" t="s">
        <v>188</v>
      </c>
      <c r="AD50" s="866">
        <f>SUM(AD32,AD34,AD36,AD38,AD40,,AD42,AD44,AD46,AD48)</f>
        <v>68446</v>
      </c>
      <c r="AE50" s="865" t="s">
        <v>188</v>
      </c>
      <c r="AF50" s="866">
        <f>SUM(AF32,AF34,AF36,AF38,AF40,,AF42,AF44,AF46,AF48)</f>
        <v>9923</v>
      </c>
      <c r="AG50" s="865" t="s">
        <v>188</v>
      </c>
      <c r="AH50" s="866">
        <f>SUM(AH32,AH34,AH36,AH38,AH40,,AH42,AH44,AH46,AH48)</f>
        <v>63917</v>
      </c>
      <c r="AI50" s="865" t="s">
        <v>188</v>
      </c>
      <c r="AJ50" s="866">
        <f>SUM(AJ32,AJ34,AJ36,AJ38,AJ40,,AJ42,AJ44,AJ46,AJ48)</f>
        <v>132597</v>
      </c>
      <c r="AK50" s="865" t="s">
        <v>188</v>
      </c>
      <c r="AL50" s="866">
        <f>SUM(AL32,AL34,AL36,AL38,AL40,,AL42,AL44,AL46,AL48)</f>
        <v>100521</v>
      </c>
      <c r="AM50" s="865" t="s">
        <v>188</v>
      </c>
      <c r="AN50" s="866">
        <f>SUM(AN32,AN34,AN36,AN38,AN40,,AN42,AN44,AN46,AN48)</f>
        <v>468373</v>
      </c>
      <c r="AO50" s="865" t="s">
        <v>188</v>
      </c>
      <c r="AP50" s="1740"/>
    </row>
  </sheetData>
  <sheetProtection/>
  <mergeCells count="218">
    <mergeCell ref="I47:I48"/>
    <mergeCell ref="AP47:AP48"/>
    <mergeCell ref="B49:C50"/>
    <mergeCell ref="D49:D50"/>
    <mergeCell ref="E49:E50"/>
    <mergeCell ref="F49:F50"/>
    <mergeCell ref="G49:G50"/>
    <mergeCell ref="H49:H50"/>
    <mergeCell ref="I49:I50"/>
    <mergeCell ref="AP49:AP50"/>
    <mergeCell ref="B47:C48"/>
    <mergeCell ref="D47:D48"/>
    <mergeCell ref="E47:E48"/>
    <mergeCell ref="F47:F48"/>
    <mergeCell ref="G47:G48"/>
    <mergeCell ref="H47:H48"/>
    <mergeCell ref="I43:I44"/>
    <mergeCell ref="AP43:AP44"/>
    <mergeCell ref="B45:C46"/>
    <mergeCell ref="D45:D46"/>
    <mergeCell ref="E45:E46"/>
    <mergeCell ref="F45:F46"/>
    <mergeCell ref="G45:G46"/>
    <mergeCell ref="H45:H46"/>
    <mergeCell ref="I45:I46"/>
    <mergeCell ref="AP45:AP46"/>
    <mergeCell ref="B43:C44"/>
    <mergeCell ref="D43:D44"/>
    <mergeCell ref="E43:E44"/>
    <mergeCell ref="F43:F44"/>
    <mergeCell ref="G43:G44"/>
    <mergeCell ref="H43:H44"/>
    <mergeCell ref="I39:I40"/>
    <mergeCell ref="AP39:AP40"/>
    <mergeCell ref="B41:C42"/>
    <mergeCell ref="D41:D42"/>
    <mergeCell ref="E41:E42"/>
    <mergeCell ref="F41:F42"/>
    <mergeCell ref="G41:G42"/>
    <mergeCell ref="H41:H42"/>
    <mergeCell ref="I41:I42"/>
    <mergeCell ref="AP41:AP42"/>
    <mergeCell ref="B39:C40"/>
    <mergeCell ref="D39:D40"/>
    <mergeCell ref="E39:E40"/>
    <mergeCell ref="F39:F40"/>
    <mergeCell ref="G39:G40"/>
    <mergeCell ref="H39:H40"/>
    <mergeCell ref="I35:I36"/>
    <mergeCell ref="AP35:AP36"/>
    <mergeCell ref="B37:C38"/>
    <mergeCell ref="D37:D38"/>
    <mergeCell ref="E37:E38"/>
    <mergeCell ref="F37:F38"/>
    <mergeCell ref="G37:G38"/>
    <mergeCell ref="H37:H38"/>
    <mergeCell ref="I37:I38"/>
    <mergeCell ref="AP37:AP38"/>
    <mergeCell ref="B35:C36"/>
    <mergeCell ref="D35:D36"/>
    <mergeCell ref="E35:E36"/>
    <mergeCell ref="F35:F36"/>
    <mergeCell ref="G35:G36"/>
    <mergeCell ref="H35:H36"/>
    <mergeCell ref="AP31:AP32"/>
    <mergeCell ref="B33:C34"/>
    <mergeCell ref="D33:D34"/>
    <mergeCell ref="E33:E34"/>
    <mergeCell ref="F33:F34"/>
    <mergeCell ref="G33:G34"/>
    <mergeCell ref="H33:H34"/>
    <mergeCell ref="I33:I34"/>
    <mergeCell ref="AP33:AP34"/>
    <mergeCell ref="I29:I30"/>
    <mergeCell ref="AP29:AP30"/>
    <mergeCell ref="A31:A50"/>
    <mergeCell ref="B31:C32"/>
    <mergeCell ref="D31:D32"/>
    <mergeCell ref="E31:E32"/>
    <mergeCell ref="F31:F32"/>
    <mergeCell ref="G31:G32"/>
    <mergeCell ref="H31:H32"/>
    <mergeCell ref="I31:I32"/>
    <mergeCell ref="B29:C30"/>
    <mergeCell ref="D29:D30"/>
    <mergeCell ref="E29:E30"/>
    <mergeCell ref="F29:F30"/>
    <mergeCell ref="G29:G30"/>
    <mergeCell ref="H29:H30"/>
    <mergeCell ref="I25:I26"/>
    <mergeCell ref="AP25:AP26"/>
    <mergeCell ref="B27:C28"/>
    <mergeCell ref="D27:D28"/>
    <mergeCell ref="E27:E28"/>
    <mergeCell ref="F27:F28"/>
    <mergeCell ref="G27:G28"/>
    <mergeCell ref="H27:H28"/>
    <mergeCell ref="I27:I28"/>
    <mergeCell ref="AP27:AP28"/>
    <mergeCell ref="G23:G24"/>
    <mergeCell ref="H23:H24"/>
    <mergeCell ref="I23:I24"/>
    <mergeCell ref="AP23:AP24"/>
    <mergeCell ref="B25:C26"/>
    <mergeCell ref="D25:D26"/>
    <mergeCell ref="E25:E26"/>
    <mergeCell ref="F25:F26"/>
    <mergeCell ref="G25:G26"/>
    <mergeCell ref="H25:H26"/>
    <mergeCell ref="AP19:AP20"/>
    <mergeCell ref="B21:C22"/>
    <mergeCell ref="D21:D22"/>
    <mergeCell ref="E21:E22"/>
    <mergeCell ref="F21:F22"/>
    <mergeCell ref="G21:G22"/>
    <mergeCell ref="H21:H22"/>
    <mergeCell ref="I21:I22"/>
    <mergeCell ref="AP21:AP22"/>
    <mergeCell ref="H17:H18"/>
    <mergeCell ref="I17:I18"/>
    <mergeCell ref="AP17:AP18"/>
    <mergeCell ref="B19:C20"/>
    <mergeCell ref="D19:D20"/>
    <mergeCell ref="E19:E20"/>
    <mergeCell ref="F19:F20"/>
    <mergeCell ref="G19:G20"/>
    <mergeCell ref="H19:H20"/>
    <mergeCell ref="I19:I20"/>
    <mergeCell ref="A17:A30"/>
    <mergeCell ref="B17:C18"/>
    <mergeCell ref="D17:D18"/>
    <mergeCell ref="E17:E18"/>
    <mergeCell ref="F17:F18"/>
    <mergeCell ref="G17:G18"/>
    <mergeCell ref="B23:C24"/>
    <mergeCell ref="D23:D24"/>
    <mergeCell ref="E23:E24"/>
    <mergeCell ref="F23:F24"/>
    <mergeCell ref="I13:I14"/>
    <mergeCell ref="AP13:AP14"/>
    <mergeCell ref="B15:C16"/>
    <mergeCell ref="D15:D16"/>
    <mergeCell ref="E15:E16"/>
    <mergeCell ref="F15:F16"/>
    <mergeCell ref="G15:G16"/>
    <mergeCell ref="H15:H16"/>
    <mergeCell ref="I15:I16"/>
    <mergeCell ref="AP15:AP16"/>
    <mergeCell ref="B13:C14"/>
    <mergeCell ref="D13:D14"/>
    <mergeCell ref="E13:E14"/>
    <mergeCell ref="F13:F14"/>
    <mergeCell ref="G13:G14"/>
    <mergeCell ref="H13:H14"/>
    <mergeCell ref="I9:I10"/>
    <mergeCell ref="AP9:AP10"/>
    <mergeCell ref="B11:C12"/>
    <mergeCell ref="D11:D12"/>
    <mergeCell ref="E11:E12"/>
    <mergeCell ref="F11:F12"/>
    <mergeCell ref="G11:G12"/>
    <mergeCell ref="H11:H12"/>
    <mergeCell ref="I11:I12"/>
    <mergeCell ref="AP11:AP12"/>
    <mergeCell ref="B9:C10"/>
    <mergeCell ref="D9:D10"/>
    <mergeCell ref="E9:E10"/>
    <mergeCell ref="F9:F10"/>
    <mergeCell ref="G9:G10"/>
    <mergeCell ref="H9:H10"/>
    <mergeCell ref="I5:I6"/>
    <mergeCell ref="AP5:AP6"/>
    <mergeCell ref="B7:C8"/>
    <mergeCell ref="D7:D8"/>
    <mergeCell ref="E7:E8"/>
    <mergeCell ref="F7:F8"/>
    <mergeCell ref="G7:G8"/>
    <mergeCell ref="H7:H8"/>
    <mergeCell ref="I7:I8"/>
    <mergeCell ref="AP7:AP8"/>
    <mergeCell ref="H3:H4"/>
    <mergeCell ref="I3:I4"/>
    <mergeCell ref="AP3:AP4"/>
    <mergeCell ref="A5:A16"/>
    <mergeCell ref="B5:C6"/>
    <mergeCell ref="D5:D6"/>
    <mergeCell ref="E5:E6"/>
    <mergeCell ref="F5:F6"/>
    <mergeCell ref="G5:G6"/>
    <mergeCell ref="H5:H6"/>
    <mergeCell ref="AF2:AG2"/>
    <mergeCell ref="AH2:AI2"/>
    <mergeCell ref="AJ2:AK2"/>
    <mergeCell ref="AL2:AM2"/>
    <mergeCell ref="AN2:AO2"/>
    <mergeCell ref="A3:C4"/>
    <mergeCell ref="D3:D4"/>
    <mergeCell ref="E3:E4"/>
    <mergeCell ref="F3:F4"/>
    <mergeCell ref="G3:G4"/>
    <mergeCell ref="AB1:AO1"/>
    <mergeCell ref="AP1:AP2"/>
    <mergeCell ref="J2:K2"/>
    <mergeCell ref="L2:M2"/>
    <mergeCell ref="N2:O2"/>
    <mergeCell ref="P2:Q2"/>
    <mergeCell ref="R2:S2"/>
    <mergeCell ref="Z2:AA2"/>
    <mergeCell ref="AB2:AC2"/>
    <mergeCell ref="AD2:AE2"/>
    <mergeCell ref="A1:C2"/>
    <mergeCell ref="D1:D2"/>
    <mergeCell ref="E1:E2"/>
    <mergeCell ref="F1:G1"/>
    <mergeCell ref="H1:AA1"/>
    <mergeCell ref="T2:U2"/>
    <mergeCell ref="V2:W2"/>
    <mergeCell ref="X2:Y2"/>
  </mergeCells>
  <printOptions/>
  <pageMargins left="0.7086614173228347" right="0.1968503937007874" top="1.062992125984252" bottom="0.1968503937007874" header="0.7874015748031497" footer="0.3937007874015748"/>
  <pageSetup firstPageNumber="16" useFirstPageNumber="1" fitToWidth="2" horizontalDpi="600" verticalDpi="600" orientation="portrait" paperSize="9" scale="62" r:id="rId1"/>
  <headerFooter scaleWithDoc="0" alignWithMargins="0">
    <oddHeader>&amp;L&amp;"ＭＳ Ｐゴシック,太字" ７　公民館利用状況</oddHeader>
    <oddFooter>&amp;C&amp;12&amp;P</oddFooter>
  </headerFooter>
  <colBreaks count="1" manualBreakCount="1">
    <brk id="2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fujimoto-takashi</dc:creator>
  <cp:keywords/>
  <dc:description/>
  <cp:lastModifiedBy>User</cp:lastModifiedBy>
  <cp:lastPrinted>2018-10-30T06:31:46Z</cp:lastPrinted>
  <dcterms:created xsi:type="dcterms:W3CDTF">2003-10-06T08:00:51Z</dcterms:created>
  <dcterms:modified xsi:type="dcterms:W3CDTF">2018-11-12T01:46:59Z</dcterms:modified>
  <cp:category/>
  <cp:version/>
  <cp:contentType/>
  <cp:contentStatus/>
</cp:coreProperties>
</file>